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Z:\Mi unidad\CARMEN DRIVE\Requisitos STMA HSEQ\2 GESTION ESTRATEGICA\2023\"/>
    </mc:Choice>
  </mc:AlternateContent>
  <xr:revisionPtr revIDLastSave="0" documentId="13_ncr:1_{5392A589-FAFB-4FF7-AE0A-13084F598E4D}" xr6:coauthVersionLast="47" xr6:coauthVersionMax="47" xr10:uidLastSave="{00000000-0000-0000-0000-000000000000}"/>
  <bookViews>
    <workbookView xWindow="-120" yWindow="-120" windowWidth="20730" windowHeight="11040" tabRatio="599" firstSheet="2" activeTab="4" xr2:uid="{00000000-000D-0000-FFFF-FFFF00000000}"/>
  </bookViews>
  <sheets>
    <sheet name="DIRECTRICES " sheetId="2" r:id="rId1"/>
    <sheet name="Presupuestos 2022" sheetId="9" r:id="rId2"/>
    <sheet name="OBJETIVOS ESTRATEGICOS " sheetId="3" r:id="rId3"/>
    <sheet name="OBJETIVOS GESTION INTEGRAL" sheetId="1" r:id="rId4"/>
    <sheet name="TODOS LOS PROCESOS" sheetId="5" r:id="rId5"/>
  </sheets>
  <externalReferences>
    <externalReference r:id="rId6"/>
  </externalReferences>
  <definedNames>
    <definedName name="_xlnm._FilterDatabase" localSheetId="2" hidden="1">'OBJETIVOS ESTRATEGICOS '!$A$6:$R$14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5" l="1"/>
  <c r="J32" i="1"/>
  <c r="L28" i="5" l="1"/>
  <c r="L27" i="5"/>
  <c r="L26" i="5"/>
  <c r="L25" i="5"/>
  <c r="L24" i="5"/>
  <c r="L23" i="5"/>
  <c r="L22" i="5"/>
  <c r="L21" i="5"/>
  <c r="L20" i="5"/>
  <c r="L19" i="5"/>
  <c r="L18" i="5"/>
  <c r="L17" i="5"/>
  <c r="L13" i="5"/>
  <c r="L12" i="5"/>
  <c r="L10" i="5"/>
  <c r="L7" i="5"/>
  <c r="L9" i="5"/>
  <c r="K8" i="5"/>
  <c r="L8" i="5" s="1"/>
  <c r="N17" i="3" l="1"/>
  <c r="M16" i="3"/>
  <c r="M15" i="3"/>
  <c r="M14" i="3"/>
  <c r="M13" i="3"/>
  <c r="M12" i="3"/>
  <c r="M11" i="3"/>
  <c r="M10" i="3"/>
  <c r="M9" i="3"/>
  <c r="M8" i="3"/>
  <c r="K36" i="1" l="1"/>
  <c r="K38" i="1" s="1"/>
  <c r="L34" i="1"/>
  <c r="E33" i="3"/>
  <c r="E32" i="3"/>
  <c r="O16" i="3"/>
  <c r="R8" i="3"/>
  <c r="R7" i="3"/>
  <c r="N31" i="9"/>
  <c r="M31" i="9"/>
  <c r="L31" i="9"/>
  <c r="H31" i="9"/>
  <c r="M30" i="9"/>
  <c r="O29" i="9"/>
  <c r="M29" i="9"/>
  <c r="H28" i="9"/>
  <c r="M27" i="9"/>
  <c r="H27" i="9"/>
  <c r="M26" i="9"/>
  <c r="H26" i="9"/>
  <c r="M25" i="9"/>
  <c r="H25" i="9"/>
  <c r="M24" i="9"/>
  <c r="H24" i="9"/>
  <c r="M23" i="9"/>
  <c r="H23" i="9"/>
  <c r="M22" i="9"/>
  <c r="H22" i="9"/>
  <c r="M21" i="9"/>
  <c r="H21" i="9"/>
  <c r="F13" i="9"/>
  <c r="C13" i="9"/>
  <c r="B13" i="9"/>
  <c r="B30" i="9" s="1"/>
  <c r="O30" i="9" s="1"/>
  <c r="F12" i="9"/>
  <c r="C12" i="9"/>
  <c r="B12" i="9"/>
  <c r="F11" i="9"/>
  <c r="C11" i="9"/>
  <c r="B11" i="9"/>
  <c r="B26" i="9" s="1"/>
  <c r="F10" i="9"/>
  <c r="C10" i="9"/>
  <c r="B10" i="9"/>
  <c r="F9" i="9"/>
  <c r="C9" i="9"/>
  <c r="B9" i="9"/>
  <c r="B8" i="9"/>
  <c r="B23" i="9" s="1"/>
  <c r="F7" i="9"/>
  <c r="C7" i="9"/>
  <c r="B7" i="9"/>
  <c r="F6" i="9"/>
  <c r="C6" i="9"/>
  <c r="B6" i="9"/>
  <c r="G12" i="9" l="1"/>
  <c r="H12" i="9" s="1"/>
  <c r="C14" i="9"/>
  <c r="G13" i="9"/>
  <c r="H13" i="9" s="1"/>
  <c r="D10" i="9"/>
  <c r="D7" i="9"/>
  <c r="E7" i="9" s="1"/>
  <c r="D9" i="9"/>
  <c r="E9" i="9" s="1"/>
  <c r="E35" i="3"/>
  <c r="E7" i="3" s="1"/>
  <c r="M7" i="3" s="1"/>
  <c r="G9" i="9"/>
  <c r="H9" i="9" s="1"/>
  <c r="D8" i="9"/>
  <c r="E8" i="9" s="1"/>
  <c r="B14" i="9"/>
  <c r="F8" i="9"/>
  <c r="G8" i="9" s="1"/>
  <c r="H8" i="9" s="1"/>
  <c r="G10" i="9"/>
  <c r="D13" i="9"/>
  <c r="E13" i="9" s="1"/>
  <c r="D11" i="9"/>
  <c r="E11" i="9" s="1"/>
  <c r="O23" i="9"/>
  <c r="G23" i="9"/>
  <c r="G26" i="9"/>
  <c r="O26" i="9"/>
  <c r="B25" i="9"/>
  <c r="D12" i="9"/>
  <c r="E12" i="9" s="1"/>
  <c r="B22" i="9"/>
  <c r="D6" i="9"/>
  <c r="B27" i="9"/>
  <c r="B24" i="9"/>
  <c r="G30" i="9"/>
  <c r="G7" i="9"/>
  <c r="H7" i="9" s="1"/>
  <c r="B21" i="9"/>
  <c r="G6" i="9"/>
  <c r="G11" i="9"/>
  <c r="H11" i="9" s="1"/>
  <c r="M17" i="3" l="1"/>
  <c r="K6" i="5"/>
  <c r="L6" i="5" s="1"/>
  <c r="L30" i="5" s="1"/>
  <c r="F14" i="9"/>
  <c r="O22" i="9"/>
  <c r="G22" i="9"/>
  <c r="D14" i="9"/>
  <c r="E14" i="9" s="1"/>
  <c r="E6" i="9"/>
  <c r="H6" i="9"/>
  <c r="G14" i="9"/>
  <c r="H14" i="9" s="1"/>
  <c r="B31" i="9"/>
  <c r="G21" i="9"/>
  <c r="O21" i="9"/>
  <c r="O25" i="9"/>
  <c r="G25" i="9"/>
  <c r="O24" i="9"/>
  <c r="G24" i="9"/>
  <c r="O27" i="9"/>
  <c r="G27" i="9"/>
  <c r="O31" i="9" l="1"/>
  <c r="G31" i="9"/>
</calcChain>
</file>

<file path=xl/sharedStrings.xml><?xml version="1.0" encoding="utf-8"?>
<sst xmlns="http://schemas.openxmlformats.org/spreadsheetml/2006/main" count="479" uniqueCount="391">
  <si>
    <t>ELEMENTO DE LA POLÍTICA</t>
  </si>
  <si>
    <t>PROCESO</t>
  </si>
  <si>
    <t>LIDER</t>
  </si>
  <si>
    <t>OBJETIVO</t>
  </si>
  <si>
    <t>INDICADOR</t>
  </si>
  <si>
    <t>META</t>
  </si>
  <si>
    <t>Saltisfacción del cliente</t>
  </si>
  <si>
    <t>Mantener la satisfacción del cliente externo</t>
  </si>
  <si>
    <t>Encuesta de satisfacción del cliente externo consultoría</t>
  </si>
  <si>
    <t>4,4  - 5</t>
  </si>
  <si>
    <t>COMERCIALIZACIÓN</t>
  </si>
  <si>
    <t>4,4 - 5</t>
  </si>
  <si>
    <t>Encuesta de satisfacción del cliente de Neplan</t>
  </si>
  <si>
    <t>Mantener el resultado de cero accidentes</t>
  </si>
  <si>
    <t># de accidentes</t>
  </si>
  <si>
    <t>Índice de frecuencia</t>
  </si>
  <si>
    <t>Índice de severidad</t>
  </si>
  <si>
    <t>Controlar el riesgo osteomuscular</t>
  </si>
  <si>
    <t># empleados bajo control de riesgo osteomuscular/# total de empleados con riesgo osteomuscular</t>
  </si>
  <si>
    <t>70% - 90%</t>
  </si>
  <si>
    <t>Controlar el riesgo cardiovascular</t>
  </si>
  <si>
    <t># empleados bajo control de riesgo cardiovascular/# total de empleados con riesgo cardiovascular</t>
  </si>
  <si>
    <t>70% - 90 %</t>
  </si>
  <si>
    <t>Desarrollo integral de colaboradores</t>
  </si>
  <si>
    <t>Gestión Humana</t>
  </si>
  <si>
    <t>Mejorar el clima laboral</t>
  </si>
  <si>
    <t>Encuesta comunicación y clima</t>
  </si>
  <si>
    <t>4,2 - 4,5</t>
  </si>
  <si>
    <t>Ofrecer capacitaciones eficaces</t>
  </si>
  <si>
    <t>Eficacia de las capacitaciones</t>
  </si>
  <si>
    <t>4,0  - 5,0</t>
  </si>
  <si>
    <t xml:space="preserve">Desempeño del personal </t>
  </si>
  <si>
    <t>Evaluación del desempeño</t>
  </si>
  <si>
    <t>4,0  - 5</t>
  </si>
  <si>
    <t>Uso eficiente de recursos</t>
  </si>
  <si>
    <t xml:space="preserve">Mantener bajo control el consumo de agua
Sede Cali
</t>
  </si>
  <si>
    <t>m3 - mensual/# de personas</t>
  </si>
  <si>
    <t>Mantener bajo control el consumo de agua
Sede Bogotá</t>
  </si>
  <si>
    <t>m3 - bimensual/# de personas</t>
  </si>
  <si>
    <t xml:space="preserve">Mantener bajo control el consumo de energía
Sede Cali
</t>
  </si>
  <si>
    <t>kW -mes/# de personas</t>
  </si>
  <si>
    <t xml:space="preserve">Mantener bajo control el consumo de energía
Sede Bogotá
</t>
  </si>
  <si>
    <t>Prevenir la contaminación
Disposición adecuada de residuos generados</t>
  </si>
  <si>
    <t>Disponer adecuadamente los residuos sólidos - Sede Cali</t>
  </si>
  <si>
    <t>Kg de residuos aprovechables/kg de residuos totales producidos</t>
  </si>
  <si>
    <t>45% - 55 %</t>
  </si>
  <si>
    <t>Disponer adecuadamente los residuos sólidos - Sede Bogotá</t>
  </si>
  <si>
    <t>Responsabilidad social</t>
  </si>
  <si>
    <t>Presidente GERS</t>
  </si>
  <si>
    <t>Desarrollar programas de responsabilidad social dirigidos a población vulnerable</t>
  </si>
  <si>
    <t>Cumplimiento de actividades de la fundación José Gers</t>
  </si>
  <si>
    <t>80% - 100%</t>
  </si>
  <si>
    <t>Prestar servicios con oportunidad, confiabilidad y rentabilidada adecuada
Evitar daños a los clientes</t>
  </si>
  <si>
    <t>PRESTACIÓN DEL SERVICIO</t>
  </si>
  <si>
    <t># reclamos por daños a la propiedad</t>
  </si>
  <si>
    <t>Entregar oportunamente los proyectos</t>
  </si>
  <si>
    <t># proyectos entregados oportunamente/# total de proyectos atendidos</t>
  </si>
  <si>
    <t>90% - 100%</t>
  </si>
  <si>
    <t>Entregar proyectos confiables</t>
  </si>
  <si>
    <t># proyectos confiables/# total de proyectos atendidos</t>
  </si>
  <si>
    <t>Logar rentabilidad global en los servicios prestados</t>
  </si>
  <si>
    <t>EBITDA POR DPTO</t>
  </si>
  <si>
    <t>Resultado final</t>
  </si>
  <si>
    <t>Total Objetivos</t>
  </si>
  <si>
    <t>% de cumplimiento</t>
  </si>
  <si>
    <t>METAS ÓPTIMAS</t>
  </si>
  <si>
    <t>FRECUENCIA SEGUIMIENTO</t>
  </si>
  <si>
    <t>MENSUAL</t>
  </si>
  <si>
    <t>Margen Ebitda global empresa</t>
  </si>
  <si>
    <t>MECANISMO DE SEGUIMIENTO</t>
  </si>
  <si>
    <t>Reunión de gerencia</t>
  </si>
  <si>
    <t xml:space="preserve">GESTIÓN ESTRATÉGICA
</t>
  </si>
  <si>
    <t>DEPTO</t>
  </si>
  <si>
    <t xml:space="preserve">COMERCIAL </t>
  </si>
  <si>
    <t>DISEÑOS</t>
  </si>
  <si>
    <t>ESTUDIOS</t>
  </si>
  <si>
    <t>NEPLAN</t>
  </si>
  <si>
    <t>PAC</t>
  </si>
  <si>
    <t>OXY</t>
  </si>
  <si>
    <t>ESTUDIOS INTERNACIONALES</t>
  </si>
  <si>
    <t>TOTALES</t>
  </si>
  <si>
    <t>Reunión comité financiero</t>
  </si>
  <si>
    <t>Jefe Gestión Humana</t>
  </si>
  <si>
    <t xml:space="preserve">Reunión grupo de apoyo </t>
  </si>
  <si>
    <t>Reunión gerencia</t>
  </si>
  <si>
    <t>Total obtenido</t>
  </si>
  <si>
    <t>FORMULA</t>
  </si>
  <si>
    <t>DESEABLE</t>
  </si>
  <si>
    <t>% CUMPLIMIENTO</t>
  </si>
  <si>
    <t>GESTION ESTRATEGICA</t>
  </si>
  <si>
    <t>Gerente</t>
  </si>
  <si>
    <t>Promedio de cumplimiento de los objetivos y metas estratégicas</t>
  </si>
  <si>
    <t>Promedio aritmético</t>
  </si>
  <si>
    <t>Mantener participación en el mercado nacional</t>
  </si>
  <si>
    <t xml:space="preserve">Cumplimiento meta de facturación </t>
  </si>
  <si>
    <t>Mantener presencia en el mercado internacional</t>
  </si>
  <si>
    <t>GESTION DE VENTAS</t>
  </si>
  <si>
    <t>$ cotizaciones adjudicadas/$ cotizaciones presentadas</t>
  </si>
  <si>
    <t xml:space="preserve">Gerentes  Dpto de Estudios, Diseños, Pruebas, Calidad de Potencia, Neplan, Comercialización </t>
  </si>
  <si>
    <t>Confiabilidad de proyectos</t>
  </si>
  <si>
    <t>Oportunidad de proyectos</t>
  </si>
  <si>
    <t># de proyectos entregados a tiempo/# total de proyectos entregados</t>
  </si>
  <si>
    <t>Rentabilidad de proyectos</t>
  </si>
  <si>
    <t>Margen Ebitda del dpto</t>
  </si>
  <si>
    <t>Accidentalidad en el dpto</t>
  </si>
  <si>
    <t>Accidentalidad ambiental en el dpto</t>
  </si>
  <si>
    <t># de accidentes ambientales presentados mensualmente</t>
  </si>
  <si>
    <t xml:space="preserve">Cumplimiento de los programas </t>
  </si>
  <si>
    <t># programas cumplidos/# total de programas</t>
  </si>
  <si>
    <t xml:space="preserve">Nivel de satisfacción del cliente interno en HSE </t>
  </si>
  <si>
    <t xml:space="preserve">Promedio encuesta satisfacción </t>
  </si>
  <si>
    <t>RECURSOS HUMANOS</t>
  </si>
  <si>
    <t>Indice de desempeño del personal</t>
  </si>
  <si>
    <t>Índice de clima laboral</t>
  </si>
  <si>
    <t>Indice de eficacia de capacitación</t>
  </si>
  <si>
    <t>Jefe De Contabilidad</t>
  </si>
  <si>
    <t>GESTION RECURSOS FISICOS</t>
  </si>
  <si>
    <t>Asistente Admon- Compras  Auxiliar Asistente Auxiliar De Ingenieria</t>
  </si>
  <si>
    <t>Cumplimiento de los programas</t>
  </si>
  <si>
    <t>Indice de satisfacción de los usuarios</t>
  </si>
  <si>
    <t>GESTION DE INFORMACION</t>
  </si>
  <si>
    <t>Jefe De Sistemas y Asistente Administrativa</t>
  </si>
  <si>
    <t>GESTION DE COMPRAS</t>
  </si>
  <si>
    <t>Asistente Administrativa De Logistica  Y Compras</t>
  </si>
  <si>
    <t>Promedio anual de calificación de proveedores</t>
  </si>
  <si>
    <t>Promedio cumplimiento total</t>
  </si>
  <si>
    <t>Índice de mejora global:</t>
  </si>
  <si>
    <t>Procesos con resultados comprendidos entre la zona deseable y óptima</t>
  </si>
  <si>
    <t>Facturación esperada nacional</t>
  </si>
  <si>
    <t>Facturación esperada internacional</t>
  </si>
  <si>
    <t>MÍNIMO</t>
  </si>
  <si>
    <t>Variable</t>
  </si>
  <si>
    <t>Meta 2018</t>
  </si>
  <si>
    <r>
      <t>​</t>
    </r>
    <r>
      <rPr>
        <sz val="12"/>
        <color rgb="FF0B5394"/>
        <rFont val="Verdana"/>
        <family val="2"/>
      </rPr>
      <t>  </t>
    </r>
    <r>
      <rPr>
        <sz val="10"/>
        <color rgb="FF0B5394"/>
        <rFont val="Verdana"/>
        <family val="2"/>
      </rPr>
      <t>$7805 mm</t>
    </r>
    <r>
      <rPr>
        <sz val="12"/>
        <color rgb="FF0B5394"/>
        <rFont val="Verdana"/>
        <family val="2"/>
      </rPr>
      <t xml:space="preserve"> </t>
    </r>
    <r>
      <rPr>
        <sz val="12"/>
        <color rgb="FF0B5394"/>
        <rFont val="Arial"/>
        <family val="2"/>
      </rPr>
      <t>​</t>
    </r>
  </si>
  <si>
    <r>
      <t>​</t>
    </r>
    <r>
      <rPr>
        <sz val="12"/>
        <color rgb="FF0B5394"/>
        <rFont val="Verdana"/>
        <family val="2"/>
      </rPr>
      <t>$8727 mm</t>
    </r>
  </si>
  <si>
    <t>Facturación internacional 2018</t>
  </si>
  <si>
    <r>
      <t>​</t>
    </r>
    <r>
      <rPr>
        <sz val="12"/>
        <color rgb="FF0B5394"/>
        <rFont val="Verdana"/>
        <family val="2"/>
      </rPr>
      <t xml:space="preserve"> </t>
    </r>
    <r>
      <rPr>
        <sz val="10"/>
        <color rgb="FF0B5394"/>
        <rFont val="Verdana"/>
        <family val="2"/>
      </rPr>
      <t>$3396 mm</t>
    </r>
    <r>
      <rPr>
        <sz val="10"/>
        <color rgb="FF0B5394"/>
        <rFont val="Arial"/>
        <family val="2"/>
      </rPr>
      <t>​</t>
    </r>
    <r>
      <rPr>
        <sz val="12"/>
        <color rgb="FF0B5394"/>
        <rFont val="Verdana"/>
        <family val="2"/>
      </rPr>
      <t xml:space="preserve"> </t>
    </r>
    <r>
      <rPr>
        <sz val="12"/>
        <color rgb="FF0B5394"/>
        <rFont val="Arial"/>
        <family val="2"/>
      </rPr>
      <t>​</t>
    </r>
  </si>
  <si>
    <r>
      <t>​</t>
    </r>
    <r>
      <rPr>
        <sz val="12"/>
        <color rgb="FF0B5394"/>
        <rFont val="Verdana"/>
        <family val="2"/>
      </rPr>
      <t>$3740 mm</t>
    </r>
  </si>
  <si>
    <t>Efectividad de cotizaciones en $</t>
  </si>
  <si>
    <r>
      <t>​</t>
    </r>
    <r>
      <rPr>
        <sz val="12"/>
        <color rgb="FF0B5394"/>
        <rFont val="Verdana"/>
        <family val="2"/>
      </rPr>
      <t xml:space="preserve"> </t>
    </r>
    <r>
      <rPr>
        <sz val="10"/>
        <color rgb="FF0B5394"/>
        <rFont val="Verdana"/>
        <family val="2"/>
      </rPr>
      <t>24.9%</t>
    </r>
    <r>
      <rPr>
        <sz val="12"/>
        <color rgb="FF0B5394"/>
        <rFont val="Verdana"/>
        <family val="2"/>
      </rPr>
      <t xml:space="preserve"> </t>
    </r>
    <r>
      <rPr>
        <sz val="12"/>
        <color rgb="FF0B5394"/>
        <rFont val="Arial"/>
        <family val="2"/>
      </rPr>
      <t>​</t>
    </r>
  </si>
  <si>
    <r>
      <t>​​</t>
    </r>
    <r>
      <rPr>
        <sz val="12"/>
        <color rgb="FF0B5394"/>
        <rFont val="Verdana"/>
        <family val="2"/>
      </rPr>
      <t>25%</t>
    </r>
  </si>
  <si>
    <t>Efectividad de cotizaciones en #</t>
  </si>
  <si>
    <r>
      <t>​</t>
    </r>
    <r>
      <rPr>
        <sz val="12"/>
        <color rgb="FF0B5394"/>
        <rFont val="Verdana"/>
        <family val="2"/>
      </rPr>
      <t xml:space="preserve"> </t>
    </r>
    <r>
      <rPr>
        <sz val="10"/>
        <color rgb="FF0B5394"/>
        <rFont val="Arial"/>
        <family val="2"/>
      </rPr>
      <t>​</t>
    </r>
    <r>
      <rPr>
        <sz val="10"/>
        <color rgb="FF0B5394"/>
        <rFont val="Verdana"/>
        <family val="2"/>
      </rPr>
      <t>29.4%</t>
    </r>
    <r>
      <rPr>
        <sz val="12"/>
        <color rgb="FF0B5394"/>
        <rFont val="Verdana"/>
        <family val="2"/>
      </rPr>
      <t xml:space="preserve"> </t>
    </r>
    <r>
      <rPr>
        <sz val="12"/>
        <color rgb="FF0B5394"/>
        <rFont val="Arial"/>
        <family val="2"/>
      </rPr>
      <t>​</t>
    </r>
  </si>
  <si>
    <r>
      <t>​​</t>
    </r>
    <r>
      <rPr>
        <sz val="12"/>
        <color rgb="FF0B5394"/>
        <rFont val="Verdana"/>
        <family val="2"/>
      </rPr>
      <t>30%</t>
    </r>
  </si>
  <si>
    <t>% de nuevos clientes para 2018</t>
  </si>
  <si>
    <r>
      <t>​</t>
    </r>
    <r>
      <rPr>
        <sz val="12"/>
        <color rgb="FF0B5394"/>
        <rFont val="Verdana"/>
        <family val="2"/>
      </rPr>
      <t xml:space="preserve"> </t>
    </r>
    <r>
      <rPr>
        <sz val="10"/>
        <color rgb="FF0B5394"/>
        <rFont val="Arial"/>
        <family val="2"/>
      </rPr>
      <t>​</t>
    </r>
    <r>
      <rPr>
        <sz val="10"/>
        <color rgb="FF0B5394"/>
        <rFont val="Verdana"/>
        <family val="2"/>
      </rPr>
      <t>33</t>
    </r>
    <r>
      <rPr>
        <sz val="10"/>
        <color rgb="FF0B5394"/>
        <rFont val="Arial"/>
        <family val="2"/>
      </rPr>
      <t>​</t>
    </r>
    <r>
      <rPr>
        <sz val="12"/>
        <color rgb="FF0B5394"/>
        <rFont val="Verdana"/>
        <family val="2"/>
      </rPr>
      <t xml:space="preserve"> </t>
    </r>
    <r>
      <rPr>
        <sz val="12"/>
        <color rgb="FF0B5394"/>
        <rFont val="Arial"/>
        <family val="2"/>
      </rPr>
      <t>​</t>
    </r>
  </si>
  <si>
    <t>​​</t>
  </si>
  <si>
    <t>Facturacion nacional</t>
  </si>
  <si>
    <t>RESULTADOS 2017</t>
  </si>
  <si>
    <t>Promedio evaluación del desempeño</t>
  </si>
  <si>
    <t>Promedio encuesta clima laboral</t>
  </si>
  <si>
    <t>Promedio evaluación de eficacia</t>
  </si>
  <si>
    <t>Promedio del cumplimiento mensual de programación</t>
  </si>
  <si>
    <t>Cartera con vencimiento &gt;= 30 días</t>
  </si>
  <si>
    <t>% de cartera con vencimiento &gt;= 30 días</t>
  </si>
  <si>
    <t>Promedio cumplimiento programas de mantenimiento</t>
  </si>
  <si>
    <t>GESTION FINANCIERA</t>
  </si>
  <si>
    <t>Promedio encuesta de satisfacción usuarios</t>
  </si>
  <si>
    <t>Promedio evaluación de proveedores de impacto en el sistema</t>
  </si>
  <si>
    <t>Efectividad de las cotizaciones presentadas en $</t>
  </si>
  <si>
    <t>Efectividad de las cotizaciones presentadas en #</t>
  </si>
  <si>
    <t># cotizaciones adjudicadas/# cotizaciones presentadas</t>
  </si>
  <si>
    <t>FACTURACIÓN PPTO</t>
  </si>
  <si>
    <t>REQUERIDO PPTO</t>
  </si>
  <si>
    <t>RESULTADO PPTO</t>
  </si>
  <si>
    <t>Cumplimiento proyectos formulados</t>
  </si>
  <si>
    <t xml:space="preserve">Reclamos
No conformes </t>
  </si>
  <si>
    <t>Prestación del servicio
Gerencia Estratégica
Gestión integral</t>
  </si>
  <si>
    <t># proyectos sin reclamos por confiabilidad/ # total de proyectos ejecutados</t>
  </si>
  <si>
    <t>Cumplimiento programa auditoría interna</t>
  </si>
  <si>
    <t xml:space="preserve">Cumplimiento programa anual </t>
  </si>
  <si>
    <t>REFERENCIA A JUNIO 30</t>
  </si>
  <si>
    <t xml:space="preserve">DISTRIBUCIÓN DE FACTURACIÓN </t>
  </si>
  <si>
    <t>DEFINICIÓN DEL INDICADOR</t>
  </si>
  <si>
    <t>JUNIO 30 2018</t>
  </si>
  <si>
    <t xml:space="preserve">
Jefe contabilidad </t>
  </si>
  <si>
    <t>Mejorar calidad integral  (1)</t>
  </si>
  <si>
    <t>Aumentar la eficiencia en la operación de la empresa (2)</t>
  </si>
  <si>
    <t>Productividad</t>
  </si>
  <si>
    <t>RESULTADO DICIEMBRE</t>
  </si>
  <si>
    <t>GERS S.A.</t>
  </si>
  <si>
    <t>NUEVOS NEGOCIOS</t>
  </si>
  <si>
    <t>CRECIMIENTO DE VENTAS</t>
  </si>
  <si>
    <t>AJUSTES</t>
  </si>
  <si>
    <t xml:space="preserve">SEMESTRAL </t>
  </si>
  <si>
    <t>Gestión Estrategica</t>
  </si>
  <si>
    <t>Resultados 2018</t>
  </si>
  <si>
    <t>28.82%</t>
  </si>
  <si>
    <t>44.52%</t>
  </si>
  <si>
    <t>Gloria Mercedes Vallejo</t>
  </si>
  <si>
    <t>Jefe de Gestión Integral</t>
  </si>
  <si>
    <t>Jefe Gestión Integral</t>
  </si>
  <si>
    <t xml:space="preserve">PROPÓSITO:  Cumplir la promesa de valor y la política de gestión integral de la organización mediante la ejecución  de los programas y planes de acción 
</t>
  </si>
  <si>
    <t>0,4 -1.0</t>
  </si>
  <si>
    <t>1.0-2.0</t>
  </si>
  <si>
    <t>79 - 104.24</t>
  </si>
  <si>
    <t>RG-001-01</t>
  </si>
  <si>
    <t>Revisión 2</t>
  </si>
  <si>
    <t>DIRECTRICES</t>
  </si>
  <si>
    <t>Optimizar el tiempo de trabajo en procesos técnicos</t>
  </si>
  <si>
    <t xml:space="preserve">MENSUAL </t>
  </si>
  <si>
    <t xml:space="preserve">Director comercial </t>
  </si>
  <si>
    <t># de campañas</t>
  </si>
  <si>
    <t xml:space="preserve">Informe de seguimiento </t>
  </si>
  <si>
    <t>Prestación del servicio</t>
  </si>
  <si>
    <t xml:space="preserve">Comercial </t>
  </si>
  <si>
    <t>Mercadeo digital : Lograr mayor posicionamiento en el mercado a traves de platformans digitales y redes sociales</t>
  </si>
  <si>
    <t xml:space="preserve">
Gestión Financiera</t>
  </si>
  <si>
    <t xml:space="preserve">Observaciones </t>
  </si>
  <si>
    <t>30.65- - 41.27</t>
  </si>
  <si>
    <t>EBITDA</t>
  </si>
  <si>
    <t>EQUIPOS</t>
  </si>
  <si>
    <t>REFERENCIA  A JUNIO 2020</t>
  </si>
  <si>
    <t>% de la disminucion de la deuda</t>
  </si>
  <si>
    <t>Reducir reclamos por daños a la propiedad</t>
  </si>
  <si>
    <t>ESTADOS FINANCIEROS</t>
  </si>
  <si>
    <t>%
PPTO</t>
  </si>
  <si>
    <t>% 
PPTO</t>
  </si>
  <si>
    <t>PROYECTOS BOGOTÁ</t>
  </si>
  <si>
    <t>% CRECIMIENTO 2020</t>
  </si>
  <si>
    <t>% CRECIMIENTO 2019</t>
  </si>
  <si>
    <t>FACTURACIÓN REAL 2019</t>
  </si>
  <si>
    <t>CRECIMIENTO 2020 S/FACTURACIÓN 2019</t>
  </si>
  <si>
    <t>PRESUPUESTO</t>
  </si>
  <si>
    <t>% CRECIMIENTO 2021</t>
  </si>
  <si>
    <t>FACTURACIÓN REAL 2020</t>
  </si>
  <si>
    <t>CRECIMIENTO 2021  S/FACTURACIÓN 2020</t>
  </si>
  <si>
    <t xml:space="preserve">RESULTADOS A DICIEMBRE </t>
  </si>
  <si>
    <t xml:space="preserve">OBSERVACION </t>
  </si>
  <si>
    <t>ESTRATEGIAS</t>
  </si>
  <si>
    <t>RECURSOS</t>
  </si>
  <si>
    <t xml:space="preserve">Inversión en capacitación
Inversión en nuevos equipos </t>
  </si>
  <si>
    <t xml:space="preserve">Seguimiento a la ejecución de proyectos
Cumplimiento de la normatividad nacional y/o internacional aplicable
Revisión y corrección de desviaciones
Análisis, atención y solución de no conformidades identificadas durante la ejecución </t>
  </si>
  <si>
    <t>Plan de mercadeo digital</t>
  </si>
  <si>
    <t>Programas de inversión en la comunidad del Hormiguero</t>
  </si>
  <si>
    <t xml:space="preserve">Control del gasto
Negociación de facturas - factoring
</t>
  </si>
  <si>
    <t>Ver presupuesto comercial</t>
  </si>
  <si>
    <t>Ver presupuesto de necesidades de inversión 2021</t>
  </si>
  <si>
    <t>Tiempo de los directores de departamento
Tiempo ingenieros responsables de proyectos</t>
  </si>
  <si>
    <t xml:space="preserve">Seguimiento mediante el sofware de gestión de proyectos </t>
  </si>
  <si>
    <t xml:space="preserve">Planeación  de actividades.
 Asignación de responsabilidades
Apoyo del grupo administrativo </t>
  </si>
  <si>
    <t>Tiempo del equipo administrativo - contable
Tiempo dedicado a seguimientos de control del gasto entre equipo administrativo- gerencia general y directores de departamentos</t>
  </si>
  <si>
    <t>Donaciones de empresas y fundaciones
Tiempo de Juan Manuel Gers dedicado a la gestión social</t>
  </si>
  <si>
    <t>Ver plan de trabajo Fundacion José Gers</t>
  </si>
  <si>
    <t>ESTRATEGIA</t>
  </si>
  <si>
    <t xml:space="preserve">Cumplimiento de requisitos de calidad, salud, seguridad y ambiente
Atención de reclamos y solicitudes </t>
  </si>
  <si>
    <t>Todo el talento humano de la organización 
Equipos y software</t>
  </si>
  <si>
    <t>Sistema de salud y seguridad en el trabajo</t>
  </si>
  <si>
    <t>Programa de control de riesgo osteomuscular</t>
  </si>
  <si>
    <t>Programa de control de riesgo cardiovascular</t>
  </si>
  <si>
    <t>Equipo de trabajo gestión humana
Presupuesto de bienestar y capacitación</t>
  </si>
  <si>
    <t>Grupo de apoyo Hormiguero
Presupuesto de inversión Fundación José Gers</t>
  </si>
  <si>
    <t>Prgrama de bienestar
Programa de capacitaciòn</t>
  </si>
  <si>
    <t>Programa de gestiòn de agua</t>
  </si>
  <si>
    <t>Programa de gestiòn energètica</t>
  </si>
  <si>
    <t>Programa de gestiòn de residuos</t>
  </si>
  <si>
    <t>Planeaciòn de inversiones y programas de intervenciòn dirigidos a la comunidad del Hormiguero</t>
  </si>
  <si>
    <t xml:space="preserve">Planeaciòn de cada departamento tècnico
</t>
  </si>
  <si>
    <t>Plan estratègico corporativo</t>
  </si>
  <si>
    <t>Presupuesto general empresa</t>
  </si>
  <si>
    <t>Plan estratègico comercial</t>
  </si>
  <si>
    <t>Gerente comercial
Equipo humano de ventas</t>
  </si>
  <si>
    <t>Grupo humano de cada departamento tècnico</t>
  </si>
  <si>
    <t>Programa de auditorìa interna</t>
  </si>
  <si>
    <t xml:space="preserve">Selecciòn de personal </t>
  </si>
  <si>
    <t xml:space="preserve">Directores de àreas tècnicas y administrativas
Jefes directos </t>
  </si>
  <si>
    <t>Programa de bienestar
Polìticas internas de la organizaciòn</t>
  </si>
  <si>
    <t xml:space="preserve">Programa de capacitaciòn </t>
  </si>
  <si>
    <t xml:space="preserve">Jefe de gestiòn Humana
Proveedores de capacitaciòn </t>
  </si>
  <si>
    <t xml:space="preserve">Jefe de gestiòn Humana
</t>
  </si>
  <si>
    <t>Jefe De Gestiòn Humana</t>
  </si>
  <si>
    <t>Cronograma tributario
Planeaciòn financiera</t>
  </si>
  <si>
    <t xml:space="preserve">Equipo humano de contabilidad </t>
  </si>
  <si>
    <t>Seguimiento a la recuperaciòn de cartera</t>
  </si>
  <si>
    <t>Auxiliar contable</t>
  </si>
  <si>
    <t>Equipo humano administrativo</t>
  </si>
  <si>
    <t>Ejecuciòn de los programas de mantenimiento</t>
  </si>
  <si>
    <t>Programas de mantenimiento locativo y de equipos y herramientas</t>
  </si>
  <si>
    <t xml:space="preserve">Programas de mantenimiento de equipos de còmputo
Gestiòn del centro de documentaciòn </t>
  </si>
  <si>
    <t>Selecciòn de proveedores
Seguimiento a la gestiòn de proveedores</t>
  </si>
  <si>
    <t>Equipos de trabajo técnico
Presupuesto de cada departamento tècnico</t>
  </si>
  <si>
    <t>Auxiliar de sistemas</t>
  </si>
  <si>
    <t>Asistente administrativo
Auxiliar de Sistemas
Jefe de gestiòn Integral</t>
  </si>
  <si>
    <t xml:space="preserve">Encuesta de satisfacción del cliente externo comercialización -equipos </t>
  </si>
  <si>
    <t xml:space="preserve"># de accidentes presentados </t>
  </si>
  <si>
    <t>OBJETIVOS ESTRATÉGICOS 2022</t>
  </si>
  <si>
    <t>PLANEACIÓN DEL SISTEMA DE GESTIÓN INTEGRAL - 2022</t>
  </si>
  <si>
    <t>PRESUPUESTO 2022</t>
  </si>
  <si>
    <t>FACTURACIÓN REAL 2021</t>
  </si>
  <si>
    <t>CRECIMIENTO 2022 S/FACTURACIÓN 2021</t>
  </si>
  <si>
    <t>Ver presupuesto comercial 2022</t>
  </si>
  <si>
    <t>Gerencia</t>
  </si>
  <si>
    <t xml:space="preserve">Gerente </t>
  </si>
  <si>
    <t>Directores de área
Gerente Nacional</t>
  </si>
  <si>
    <t xml:space="preserve">Promover capacitaciones en áreas que complementen la formación profesional de nuestros colaboradores
</t>
  </si>
  <si>
    <t xml:space="preserve"># capacitaciones ejecutadas/# capacitaciones programadas 
</t>
  </si>
  <si>
    <t>Programa de capacitaciones
Convocatorias</t>
  </si>
  <si>
    <t>Humanos 
Financieros</t>
  </si>
  <si>
    <t># de proyectos realiados en el año</t>
  </si>
  <si>
    <t xml:space="preserve">Semanal </t>
  </si>
  <si>
    <t>Proyectos adjudicados</t>
  </si>
  <si>
    <t>Plan de mercadeo</t>
  </si>
  <si>
    <t># de proyectos en conjunto</t>
  </si>
  <si>
    <t>Fortelecer la integración corporativa</t>
  </si>
  <si>
    <t xml:space="preserve">GERENCIAS </t>
  </si>
  <si>
    <t>Plan de cotizaciones en conjunto</t>
  </si>
  <si>
    <t>Encuesta de satisfacción cliente externo en HSE</t>
  </si>
  <si>
    <t>4.5 - 5</t>
  </si>
  <si>
    <t>Director Equipos</t>
  </si>
  <si>
    <t>Director  Neplan</t>
  </si>
  <si>
    <t>Directores de áreas técnicas</t>
  </si>
  <si>
    <t>Directores de área técnicas</t>
  </si>
  <si>
    <t>Gestión Integral</t>
  </si>
  <si>
    <t>Equipo de trabajo Gestión Integral
Presupuestos sistema integral</t>
  </si>
  <si>
    <t>Equipo de trabajo Gestión Integral
Participación de todo el personal de GERS
Presupuesto Gestión Integral</t>
  </si>
  <si>
    <t xml:space="preserve">
Capacitaciones en normatividad legal </t>
  </si>
  <si>
    <t>Humanos</t>
  </si>
  <si>
    <t>Promover la calidad de vida laboral
Prevención de accidentes
Prevención de enfermedades laborales
Programas de bienestar que impacten la calidad de vida familiar</t>
  </si>
  <si>
    <t xml:space="preserve">Jefe Gestión Integral </t>
  </si>
  <si>
    <t>Continuar con actividades de bienestar e integrar a la familia</t>
  </si>
  <si>
    <t># actividades donde se involucre a la familia</t>
  </si>
  <si>
    <t># de sanciones</t>
  </si>
  <si>
    <t>Planeaciòn de cada departamento Tècnico
Programas de gestiòn Integral</t>
  </si>
  <si>
    <t>GESTION Integral</t>
  </si>
  <si>
    <t>Programas de gestiòn Integral</t>
  </si>
  <si>
    <t>Equipo humano Integral</t>
  </si>
  <si>
    <t>Entidades de soporte para la gestiòn Integral</t>
  </si>
  <si>
    <t>Gestiòn Integral
Comunicaciòn Integral</t>
  </si>
  <si>
    <t>Equipo humano Integral y labor de entidades de soporte</t>
  </si>
  <si>
    <t>Jefe Integral
Auxiliar administrativo</t>
  </si>
  <si>
    <t>Luis Freyder Posso</t>
  </si>
  <si>
    <t>Incluir capacitaciones en programa de capacitaciones</t>
  </si>
  <si>
    <t>Cumplir con la normatividad legal vigente y demás reglamentaciones aplicables</t>
  </si>
  <si>
    <t>Mantener actualizado al personal de la organización  en normatividad legal vigente realtiva al objetivo de la empresa y en SSTA</t>
  </si>
  <si>
    <t xml:space="preserve">Identificar y actualizar la matriz de identificación de factores de riesgo </t>
  </si>
  <si>
    <t>NC en Auditorias</t>
  </si>
  <si>
    <t xml:space="preserve">Seguimiento a la actualización de la matriz de riesgos </t>
  </si>
  <si>
    <t>Seguimiento a la actualizacion de la matriz</t>
  </si>
  <si>
    <t>Encargado de hacer actualización Profesional HSEQ</t>
  </si>
  <si>
    <t>Asegurar la identificación, evaluación e intervención de los diferentes factores de riesgo y peligros significativos para la salud de los trabajadores</t>
  </si>
  <si>
    <t>4,5</t>
  </si>
  <si>
    <t>Sancionesa administrativas o juridicas por incumplimineto de leyes en aspectos de SSTA</t>
  </si>
  <si>
    <t>No se presentaron reclamos durante el 2022</t>
  </si>
  <si>
    <t xml:space="preserve">Seguimiento por medio del GDP </t>
  </si>
  <si>
    <t xml:space="preserve">Ver informe de Gestión </t>
  </si>
  <si>
    <t>Ver programación GERS ACADEMY</t>
  </si>
  <si>
    <t>Durante el primer semestre del año 2022 se lleva a cabo de forma mensual (una vez al mes) la actividad de pausa activa dirigida por la fisioterapeuta especialista en SST asesor de la ARL Colmena Seguros. Esta actividad se hace de manera presencial en la ciudad de Cali y para las otras ciudades se hace de manera virtual. 
A la fecha no se tienen casos de enfermedad laboral por diagnostico osteomuscular. 
De acuerdo al analisis de los resultados se evidencia 16 personas con sintomatologia osteomuscular las cuales se les debe realizar examen medico ocupacional para definición de diagnostico y posible remisión a EPS.</t>
  </si>
  <si>
    <t xml:space="preserve">Se realiza la socialización de concepto de aptitud a los trabajadores y se remiten las personas que presentan diagnostico de dislipidemia y obesidad a su respectiva EPS para iniciar tratamiento medico. 
Se continua con la sensibilización de estilos de vida saludable. Se debe revisar el infrome de condiciones de salud y determinar si aumento o no el Riesgo </t>
  </si>
  <si>
    <t xml:space="preserve">Identificando los requisitos legales y normativos aplicables al tipo de actividad económica de la empresa en temas de: calidad, seguridad y salud en el trabajo, medio ambiente y otros; definiendo las acciones para garantizar su cumplimiento.Se realiza actualización en matriz legal con el personal responsable del sistema de gestión  y capacitación en normatividad SST a todo el personal </t>
  </si>
  <si>
    <t>RIESGOS DE LA ESTRATEGIA</t>
  </si>
  <si>
    <t xml:space="preserve">No alcanzar las ventas esperadas en cuestión de dinero </t>
  </si>
  <si>
    <t>Plan estratégico corporativo de mercadeo 2022</t>
  </si>
  <si>
    <t xml:space="preserve">Quedar por debajo del margen plantado para el año </t>
  </si>
  <si>
    <t>Reclamos de clientes que puedan generar costos adicionales, demandas, o perdida del mismo, mala imagen corporativa</t>
  </si>
  <si>
    <t xml:space="preserve">Retraso en entrega de  proyectos  </t>
  </si>
  <si>
    <t>Que no lleguen al foco objetivo</t>
  </si>
  <si>
    <t xml:space="preserve">Controlar el nivel de endeudamiento 
</t>
  </si>
  <si>
    <t xml:space="preserve">Adquirir mayor endeudamiento por nuevos negocios u otros motivos </t>
  </si>
  <si>
    <t>Que no se cumplan los proyectos por falta de dinero</t>
  </si>
  <si>
    <t xml:space="preserve">Falta de personal capacitado para algunos temas especificos
Falta de tiempo del personal interno dado que debe atender proyectos </t>
  </si>
  <si>
    <t xml:space="preserve">Qyue no se presenten proyectos en conjunto </t>
  </si>
  <si>
    <t>Renovables</t>
  </si>
  <si>
    <t>Ver plan de trabajo GERS  Academy</t>
  </si>
  <si>
    <t xml:space="preserve">Chile
 USA
Mexico </t>
  </si>
  <si>
    <t>2
4
4</t>
  </si>
  <si>
    <t xml:space="preserve">seguimiento financiero </t>
  </si>
  <si>
    <t>$2.323.123
$1.638.322</t>
  </si>
  <si>
    <t>Incrementar participación en proyectos de energías renovales</t>
  </si>
  <si>
    <t xml:space="preserve">Índice de cumplimiento de actividades contables y tributarias
</t>
  </si>
  <si>
    <t>Dia de la familia (2)
Dia de los niños</t>
  </si>
  <si>
    <t xml:space="preserve">Notigers
Listado de incentivos y benficios </t>
  </si>
  <si>
    <t xml:space="preserve">Humano </t>
  </si>
  <si>
    <t xml:space="preserve">Humano 
Plan de mercadeo </t>
  </si>
  <si>
    <t xml:space="preserve">Resultados de facturación de acuerdo a presupuesto </t>
  </si>
  <si>
    <t>Resultado esperado pendiente del cierre del mes de diciembre y del año 2022</t>
  </si>
  <si>
    <t xml:space="preserve">Personal Técnico </t>
  </si>
  <si>
    <t>Directores de área</t>
  </si>
  <si>
    <r>
      <t xml:space="preserve">
</t>
    </r>
    <r>
      <rPr>
        <sz val="11"/>
        <rFont val="Calibri"/>
        <family val="2"/>
        <scheme val="minor"/>
      </rPr>
      <t>$24.055.840 (2022)</t>
    </r>
  </si>
  <si>
    <t xml:space="preserve">Gerente
</t>
  </si>
  <si>
    <t>% de tiempo dedicado a labores técnicas del personal técnico</t>
  </si>
  <si>
    <t>se cambió la estrategia a linkedin</t>
  </si>
  <si>
    <t>Realizar acciones encaminadas al desarrollo humano de los grupos de interés a través de las actividades realizadas para  incentivar la gestión social a través de la Fundación José Gers (Responsabilidad Social)</t>
  </si>
  <si>
    <t># INDICADORES CUMPLIDOS</t>
  </si>
  <si>
    <t>RESULTADO A DICIEMBRE</t>
  </si>
  <si>
    <t xml:space="preserve">Director Comercial </t>
  </si>
  <si>
    <t>Director De Departamento
Gerente Comercial</t>
  </si>
  <si>
    <t>Jefe Gerente Integral</t>
  </si>
  <si>
    <t>Índice de satisfacción de los usuarios gestión de la información</t>
  </si>
  <si>
    <t>ÓPTIMO</t>
  </si>
  <si>
    <t xml:space="preserve">Que no se den proyectos de energias renovables </t>
  </si>
  <si>
    <t xml:space="preserve">Ver plan de 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</si>
</sst>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0.0%"/>
    <numFmt numFmtId="166" formatCode="&quot;$&quot;#,##0"/>
    <numFmt numFmtId="167" formatCode="0.0"/>
    <numFmt numFmtId="168" formatCode="#,##0.000"/>
    <numFmt numFmtId="169" formatCode="_(&quot;$&quot;\ * #,##0_);_(&quot;$&quot;\ * \(#,##0\);_(&quot;$&quot;\ *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b/>
      <sz val="18"/>
      <color theme="1"/>
      <name val="Arial"/>
      <family val="2"/>
    </font>
    <font>
      <b/>
      <sz val="12"/>
      <color theme="0"/>
      <name val="Calibri"/>
      <family val="2"/>
      <scheme val="minor"/>
    </font>
    <font>
      <sz val="10"/>
      <name val="Arial"/>
      <family val="2"/>
    </font>
    <font>
      <b/>
      <sz val="12"/>
      <color theme="1"/>
      <name val="Calibri"/>
      <family val="2"/>
      <scheme val="minor"/>
    </font>
    <font>
      <b/>
      <sz val="14"/>
      <color rgb="FF000000"/>
      <name val="Calibri"/>
      <family val="2"/>
    </font>
    <font>
      <b/>
      <sz val="16"/>
      <color theme="1"/>
      <name val="Calibri"/>
      <family val="2"/>
      <scheme val="minor"/>
    </font>
    <font>
      <b/>
      <sz val="11"/>
      <name val="Calibri"/>
      <family val="2"/>
      <scheme val="minor"/>
    </font>
    <font>
      <sz val="9"/>
      <name val="Arial"/>
      <family val="2"/>
    </font>
    <font>
      <sz val="9"/>
      <color theme="1"/>
      <name val="Calibri"/>
      <family val="2"/>
      <scheme val="minor"/>
    </font>
    <font>
      <sz val="10"/>
      <color rgb="FF2C3393"/>
      <name val="Verdana"/>
      <family val="2"/>
    </font>
    <font>
      <sz val="12"/>
      <color rgb="FF0B5394"/>
      <name val="Arial"/>
      <family val="2"/>
    </font>
    <font>
      <sz val="12"/>
      <color rgb="FF0B5394"/>
      <name val="Verdana"/>
      <family val="2"/>
    </font>
    <font>
      <sz val="10"/>
      <color rgb="FF0B5394"/>
      <name val="Verdana"/>
      <family val="2"/>
    </font>
    <font>
      <sz val="10"/>
      <color rgb="FF0B5394"/>
      <name val="Arial"/>
      <family val="2"/>
    </font>
    <font>
      <b/>
      <sz val="9"/>
      <color theme="1"/>
      <name val="Arial"/>
      <family val="2"/>
    </font>
    <font>
      <b/>
      <sz val="10"/>
      <name val="Arial"/>
      <family val="2"/>
    </font>
    <font>
      <b/>
      <sz val="9"/>
      <name val="Arial"/>
      <family val="2"/>
    </font>
    <font>
      <b/>
      <i/>
      <sz val="14"/>
      <color theme="1"/>
      <name val="Calibri"/>
      <family val="2"/>
      <scheme val="minor"/>
    </font>
    <font>
      <sz val="11"/>
      <color rgb="FFFF0000"/>
      <name val="Calibri"/>
      <family val="2"/>
      <scheme val="minor"/>
    </font>
    <font>
      <b/>
      <sz val="12"/>
      <name val="Arial"/>
      <family val="2"/>
    </font>
    <font>
      <b/>
      <sz val="14"/>
      <color theme="1"/>
      <name val="Arial"/>
      <family val="2"/>
    </font>
    <font>
      <b/>
      <sz val="10"/>
      <color theme="1"/>
      <name val="Arial"/>
      <family val="2"/>
    </font>
    <font>
      <sz val="9"/>
      <color theme="1"/>
      <name val="Arial"/>
      <family val="2"/>
    </font>
    <font>
      <sz val="10"/>
      <color theme="1"/>
      <name val="Arial"/>
      <family val="2"/>
    </font>
    <font>
      <sz val="10"/>
      <color rgb="FFFF0000"/>
      <name val="Arial"/>
      <family val="2"/>
    </font>
    <font>
      <sz val="11"/>
      <name val="Calibri"/>
      <family val="2"/>
      <scheme val="minor"/>
    </font>
    <font>
      <sz val="10"/>
      <color rgb="FFCC0000"/>
      <name val="Arial"/>
      <family val="2"/>
    </font>
  </fonts>
  <fills count="13">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0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thin">
        <color indexed="64"/>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s>
  <cellStyleXfs count="7">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164" fontId="1" fillId="0" borderId="0" applyFont="0" applyFill="0" applyBorder="0" applyAlignment="0" applyProtection="0"/>
    <xf numFmtId="0" fontId="7" fillId="0" borderId="0"/>
    <xf numFmtId="9" fontId="7" fillId="0" borderId="0" applyFont="0" applyFill="0" applyBorder="0" applyAlignment="0" applyProtection="0"/>
  </cellStyleXfs>
  <cellXfs count="305">
    <xf numFmtId="0" fontId="0" fillId="0" borderId="0" xfId="0"/>
    <xf numFmtId="0" fontId="0" fillId="0" borderId="0" xfId="0" applyAlignment="1">
      <alignment horizontal="center"/>
    </xf>
    <xf numFmtId="0" fontId="0" fillId="0" borderId="9" xfId="0" applyBorder="1" applyAlignment="1">
      <alignment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4" fillId="0" borderId="9" xfId="0" applyFont="1" applyBorder="1" applyAlignment="1">
      <alignment vertical="center" wrapText="1"/>
    </xf>
    <xf numFmtId="0" fontId="2" fillId="0" borderId="9" xfId="0" applyFont="1" applyBorder="1" applyAlignment="1">
      <alignment horizontal="center"/>
    </xf>
    <xf numFmtId="165" fontId="2" fillId="0" borderId="9" xfId="1" applyNumberFormat="1" applyFont="1" applyBorder="1" applyAlignment="1">
      <alignment horizontal="center"/>
    </xf>
    <xf numFmtId="0" fontId="0" fillId="0" borderId="0" xfId="0" applyAlignment="1">
      <alignment wrapText="1"/>
    </xf>
    <xf numFmtId="0" fontId="0" fillId="0" borderId="9" xfId="0" applyBorder="1" applyAlignment="1">
      <alignment wrapText="1"/>
    </xf>
    <xf numFmtId="166" fontId="0" fillId="0" borderId="9" xfId="0" applyNumberFormat="1" applyBorder="1" applyAlignment="1">
      <alignment horizontal="center" vertical="center"/>
    </xf>
    <xf numFmtId="166" fontId="0" fillId="0" borderId="9" xfId="0" applyNumberFormat="1" applyBorder="1" applyAlignment="1">
      <alignment horizontal="center" vertical="center" wrapText="1"/>
    </xf>
    <xf numFmtId="2" fontId="2" fillId="0" borderId="9" xfId="0" applyNumberFormat="1" applyFont="1" applyBorder="1" applyAlignment="1">
      <alignment horizontal="center"/>
    </xf>
    <xf numFmtId="0" fontId="11" fillId="6" borderId="9" xfId="0" applyFont="1" applyFill="1" applyBorder="1" applyAlignment="1">
      <alignment horizontal="center" vertical="center"/>
    </xf>
    <xf numFmtId="9" fontId="0" fillId="0" borderId="0" xfId="1" applyFont="1"/>
    <xf numFmtId="0" fontId="12" fillId="7" borderId="9" xfId="0" applyFont="1" applyFill="1" applyBorder="1" applyAlignment="1">
      <alignment vertical="center" wrapText="1"/>
    </xf>
    <xf numFmtId="0" fontId="12" fillId="0" borderId="9" xfId="0" applyFont="1" applyBorder="1" applyAlignment="1">
      <alignment vertical="center" wrapText="1"/>
    </xf>
    <xf numFmtId="0" fontId="12" fillId="7" borderId="9" xfId="0" applyFont="1" applyFill="1" applyBorder="1" applyAlignment="1">
      <alignment horizontal="center" vertical="center" wrapText="1"/>
    </xf>
    <xf numFmtId="0" fontId="12" fillId="7" borderId="8" xfId="0" applyFont="1" applyFill="1" applyBorder="1" applyAlignment="1">
      <alignment vertical="center" wrapText="1"/>
    </xf>
    <xf numFmtId="0" fontId="0" fillId="0" borderId="0" xfId="0" applyAlignment="1">
      <alignment horizontal="center" vertical="center"/>
    </xf>
    <xf numFmtId="0" fontId="14" fillId="0" borderId="1" xfId="0" applyFont="1" applyBorder="1" applyAlignment="1">
      <alignment vertical="center" wrapText="1"/>
    </xf>
    <xf numFmtId="0" fontId="14" fillId="0" borderId="19" xfId="0" applyFont="1" applyBorder="1" applyAlignment="1">
      <alignment vertical="center" wrapText="1"/>
    </xf>
    <xf numFmtId="0" fontId="0" fillId="0" borderId="4" xfId="0" applyBorder="1" applyAlignment="1">
      <alignment vertical="top" wrapText="1"/>
    </xf>
    <xf numFmtId="0" fontId="15" fillId="0" borderId="20" xfId="0" applyFont="1" applyBorder="1" applyAlignment="1">
      <alignment vertical="center" wrapText="1"/>
    </xf>
    <xf numFmtId="0" fontId="14" fillId="0" borderId="21" xfId="0" applyFont="1" applyBorder="1" applyAlignment="1">
      <alignment vertical="center" wrapText="1"/>
    </xf>
    <xf numFmtId="0" fontId="0" fillId="0" borderId="9" xfId="0" applyBorder="1"/>
    <xf numFmtId="3" fontId="0" fillId="0" borderId="9" xfId="0" applyNumberFormat="1" applyBorder="1"/>
    <xf numFmtId="3" fontId="2" fillId="0" borderId="9" xfId="0" applyNumberFormat="1" applyFont="1" applyBorder="1"/>
    <xf numFmtId="167" fontId="0" fillId="0" borderId="0" xfId="0" applyNumberFormat="1"/>
    <xf numFmtId="0" fontId="0" fillId="0" borderId="8" xfId="0" applyBorder="1"/>
    <xf numFmtId="9" fontId="0" fillId="0" borderId="9" xfId="0" applyNumberFormat="1" applyBorder="1"/>
    <xf numFmtId="0" fontId="2" fillId="0" borderId="0" xfId="0" applyFont="1"/>
    <xf numFmtId="0" fontId="2" fillId="0" borderId="9" xfId="0" applyFont="1" applyBorder="1"/>
    <xf numFmtId="0" fontId="2" fillId="6" borderId="0" xfId="0" applyFont="1" applyFill="1" applyAlignment="1">
      <alignment horizontal="center"/>
    </xf>
    <xf numFmtId="0" fontId="21" fillId="7" borderId="9"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2" fillId="0" borderId="0" xfId="0" applyFont="1"/>
    <xf numFmtId="0" fontId="2" fillId="9" borderId="9" xfId="0" applyFont="1" applyFill="1" applyBorder="1"/>
    <xf numFmtId="0" fontId="19" fillId="9" borderId="9" xfId="0" applyFont="1" applyFill="1" applyBorder="1" applyAlignment="1">
      <alignment horizontal="center" vertical="center" wrapText="1"/>
    </xf>
    <xf numFmtId="10" fontId="0" fillId="0" borderId="9" xfId="1" applyNumberFormat="1" applyFont="1" applyBorder="1"/>
    <xf numFmtId="0" fontId="7" fillId="0" borderId="9" xfId="0" applyFont="1" applyBorder="1"/>
    <xf numFmtId="0" fontId="0" fillId="0" borderId="0" xfId="0" applyAlignment="1">
      <alignment vertical="center" wrapText="1"/>
    </xf>
    <xf numFmtId="0" fontId="4" fillId="0" borderId="0" xfId="0" applyFont="1" applyAlignment="1">
      <alignment vertical="center" wrapText="1"/>
    </xf>
    <xf numFmtId="166" fontId="0" fillId="0" borderId="0" xfId="0" applyNumberFormat="1" applyAlignment="1">
      <alignment horizontal="center" vertical="center"/>
    </xf>
    <xf numFmtId="166" fontId="0" fillId="0" borderId="0" xfId="0" applyNumberFormat="1" applyAlignment="1">
      <alignment horizontal="center" vertical="center" wrapText="1"/>
    </xf>
    <xf numFmtId="0" fontId="15" fillId="0" borderId="20" xfId="0" applyFont="1" applyBorder="1" applyAlignment="1">
      <alignment horizontal="left" vertical="center" wrapText="1"/>
    </xf>
    <xf numFmtId="0" fontId="14" fillId="0" borderId="21" xfId="0" applyFont="1" applyBorder="1" applyAlignment="1">
      <alignment horizontal="left" vertical="center" wrapText="1"/>
    </xf>
    <xf numFmtId="0" fontId="0" fillId="0" borderId="29" xfId="0" applyBorder="1"/>
    <xf numFmtId="0" fontId="0" fillId="0" borderId="30" xfId="0" applyBorder="1"/>
    <xf numFmtId="0" fontId="0" fillId="0" borderId="31" xfId="0" applyBorder="1"/>
    <xf numFmtId="0" fontId="0" fillId="0" borderId="32" xfId="0" applyBorder="1"/>
    <xf numFmtId="0" fontId="0" fillId="0" borderId="17" xfId="0" applyBorder="1"/>
    <xf numFmtId="0" fontId="0" fillId="0" borderId="18" xfId="0" applyBorder="1"/>
    <xf numFmtId="0" fontId="0" fillId="0" borderId="23" xfId="0" applyBorder="1"/>
    <xf numFmtId="0" fontId="0" fillId="0" borderId="28" xfId="0" applyBorder="1"/>
    <xf numFmtId="0" fontId="5" fillId="0" borderId="1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0" xfId="0" applyFont="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0" xfId="0" applyFont="1" applyBorder="1" applyAlignment="1">
      <alignment horizontal="center" vertical="center"/>
    </xf>
    <xf numFmtId="0" fontId="5" fillId="0" borderId="23" xfId="0" applyFont="1" applyBorder="1" applyAlignment="1">
      <alignment vertical="center"/>
    </xf>
    <xf numFmtId="0" fontId="5" fillId="0" borderId="0" xfId="0" applyFont="1" applyAlignment="1">
      <alignment horizontal="center" vertical="center"/>
    </xf>
    <xf numFmtId="0" fontId="5" fillId="0" borderId="32" xfId="0" applyFont="1" applyBorder="1" applyAlignment="1">
      <alignment vertical="center"/>
    </xf>
    <xf numFmtId="0" fontId="5" fillId="0" borderId="17" xfId="0" applyFont="1" applyBorder="1" applyAlignment="1">
      <alignment vertical="center"/>
    </xf>
    <xf numFmtId="0" fontId="5" fillId="0" borderId="17" xfId="0" applyFont="1" applyBorder="1" applyAlignment="1">
      <alignment horizontal="center" vertical="center"/>
    </xf>
    <xf numFmtId="0" fontId="2" fillId="0" borderId="0" xfId="0" applyFont="1" applyAlignment="1">
      <alignment horizontal="center"/>
    </xf>
    <xf numFmtId="165" fontId="10" fillId="0" borderId="0" xfId="1" applyNumberFormat="1" applyFont="1" applyBorder="1" applyAlignment="1">
      <alignment horizontal="center" vertical="center" wrapText="1"/>
    </xf>
    <xf numFmtId="9" fontId="0" fillId="0" borderId="0" xfId="1" applyFont="1" applyAlignment="1">
      <alignment horizontal="center"/>
    </xf>
    <xf numFmtId="0" fontId="0" fillId="4" borderId="1" xfId="0" applyFill="1" applyBorder="1" applyAlignment="1">
      <alignment horizontal="left"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4" fillId="4" borderId="1" xfId="0" applyFont="1" applyFill="1" applyBorder="1" applyAlignment="1">
      <alignment vertical="center" wrapText="1"/>
    </xf>
    <xf numFmtId="166" fontId="0" fillId="4" borderId="1" xfId="0" applyNumberFormat="1" applyFill="1" applyBorder="1" applyAlignment="1">
      <alignment horizontal="center" vertical="center"/>
    </xf>
    <xf numFmtId="0" fontId="0" fillId="4" borderId="1" xfId="0" applyFill="1" applyBorder="1" applyAlignment="1">
      <alignment horizontal="center" vertical="center"/>
    </xf>
    <xf numFmtId="166" fontId="0" fillId="4" borderId="1" xfId="0" applyNumberFormat="1" applyFill="1" applyBorder="1" applyAlignment="1">
      <alignment horizontal="center" vertical="center" wrapText="1"/>
    </xf>
    <xf numFmtId="1"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9" fontId="0" fillId="4" borderId="1" xfId="1" applyFont="1" applyFill="1" applyBorder="1" applyAlignment="1">
      <alignment horizontal="center" vertical="center" wrapText="1"/>
    </xf>
    <xf numFmtId="1" fontId="0" fillId="4" borderId="1" xfId="1" applyNumberFormat="1" applyFont="1" applyFill="1" applyBorder="1" applyAlignment="1">
      <alignment horizontal="center" vertical="center" wrapText="1"/>
    </xf>
    <xf numFmtId="0" fontId="0" fillId="0" borderId="0" xfId="0" applyAlignment="1">
      <alignment vertical="top"/>
    </xf>
    <xf numFmtId="0" fontId="13" fillId="0" borderId="23" xfId="0" applyFont="1" applyBorder="1" applyAlignment="1">
      <alignment vertical="top" wrapText="1"/>
    </xf>
    <xf numFmtId="0" fontId="0" fillId="0" borderId="0" xfId="0" applyAlignment="1">
      <alignment horizontal="center" vertical="center" wrapText="1"/>
    </xf>
    <xf numFmtId="0" fontId="8" fillId="0" borderId="0" xfId="0" applyFont="1" applyAlignment="1">
      <alignment horizontal="center" vertical="center" wrapText="1"/>
    </xf>
    <xf numFmtId="0" fontId="20" fillId="0" borderId="0" xfId="0" applyFont="1"/>
    <xf numFmtId="3" fontId="0" fillId="0" borderId="27" xfId="0" applyNumberFormat="1" applyBorder="1"/>
    <xf numFmtId="3" fontId="12" fillId="0" borderId="9" xfId="2" applyNumberFormat="1" applyFont="1" applyBorder="1"/>
    <xf numFmtId="0" fontId="7" fillId="0" borderId="5" xfId="0" applyFont="1" applyBorder="1"/>
    <xf numFmtId="10" fontId="2" fillId="0" borderId="9" xfId="1" applyNumberFormat="1" applyFont="1" applyBorder="1"/>
    <xf numFmtId="0" fontId="24" fillId="0" borderId="0" xfId="0" applyFont="1"/>
    <xf numFmtId="0" fontId="26" fillId="9" borderId="9" xfId="0" applyFont="1" applyFill="1" applyBorder="1"/>
    <xf numFmtId="0" fontId="26" fillId="9" borderId="9" xfId="0" applyFont="1" applyFill="1" applyBorder="1" applyAlignment="1">
      <alignment horizontal="center" vertical="center" wrapText="1"/>
    </xf>
    <xf numFmtId="10" fontId="0" fillId="0" borderId="27" xfId="1" applyNumberFormat="1" applyFont="1" applyBorder="1"/>
    <xf numFmtId="9" fontId="0" fillId="0" borderId="27" xfId="1" applyFont="1" applyBorder="1"/>
    <xf numFmtId="165" fontId="0" fillId="0" borderId="9" xfId="1" applyNumberFormat="1" applyFont="1" applyBorder="1"/>
    <xf numFmtId="9" fontId="0" fillId="0" borderId="9" xfId="1" applyFont="1" applyBorder="1"/>
    <xf numFmtId="10" fontId="2" fillId="0" borderId="27" xfId="1" applyNumberFormat="1" applyFont="1" applyBorder="1"/>
    <xf numFmtId="9" fontId="2" fillId="0" borderId="27" xfId="1" applyFont="1" applyBorder="1"/>
    <xf numFmtId="165" fontId="20" fillId="0" borderId="9" xfId="1" applyNumberFormat="1" applyFont="1" applyBorder="1"/>
    <xf numFmtId="9" fontId="2" fillId="0" borderId="9" xfId="1" applyFont="1" applyBorder="1"/>
    <xf numFmtId="165" fontId="2" fillId="0" borderId="9" xfId="1" applyNumberFormat="1" applyFont="1" applyBorder="1"/>
    <xf numFmtId="168" fontId="9" fillId="0" borderId="24" xfId="0" applyNumberFormat="1" applyFont="1" applyBorder="1" applyAlignment="1">
      <alignment horizontal="right" wrapText="1" readingOrder="1"/>
    </xf>
    <xf numFmtId="4" fontId="9" fillId="0" borderId="25" xfId="0" applyNumberFormat="1" applyFont="1" applyBorder="1" applyAlignment="1">
      <alignment horizontal="right" wrapText="1" readingOrder="1"/>
    </xf>
    <xf numFmtId="4" fontId="0" fillId="0" borderId="0" xfId="0" applyNumberFormat="1"/>
    <xf numFmtId="4" fontId="9" fillId="0" borderId="16" xfId="0" applyNumberFormat="1" applyFont="1" applyBorder="1" applyAlignment="1">
      <alignment horizontal="right" wrapText="1" readingOrder="1"/>
    </xf>
    <xf numFmtId="0" fontId="27" fillId="7" borderId="9" xfId="0" applyFont="1" applyFill="1" applyBorder="1" applyAlignment="1">
      <alignment wrapText="1"/>
    </xf>
    <xf numFmtId="0" fontId="27" fillId="7" borderId="9" xfId="0" applyFont="1" applyFill="1" applyBorder="1" applyAlignment="1">
      <alignment horizontal="center" vertical="center"/>
    </xf>
    <xf numFmtId="0" fontId="12" fillId="0" borderId="8" xfId="0" applyFont="1" applyBorder="1" applyAlignment="1">
      <alignment vertical="center" wrapText="1"/>
    </xf>
    <xf numFmtId="0" fontId="21" fillId="7" borderId="8" xfId="0" applyFont="1" applyFill="1" applyBorder="1" applyAlignment="1">
      <alignment horizontal="center" vertical="center"/>
    </xf>
    <xf numFmtId="4" fontId="12" fillId="7" borderId="9" xfId="0" applyNumberFormat="1" applyFont="1" applyFill="1" applyBorder="1" applyAlignment="1">
      <alignment horizontal="center" vertical="center" wrapText="1"/>
    </xf>
    <xf numFmtId="0" fontId="27" fillId="0" borderId="9" xfId="0" applyFont="1" applyBorder="1" applyAlignment="1">
      <alignment wrapText="1"/>
    </xf>
    <xf numFmtId="0" fontId="27" fillId="7" borderId="9" xfId="0" applyFont="1" applyFill="1" applyBorder="1" applyAlignment="1">
      <alignment vertical="center" wrapText="1"/>
    </xf>
    <xf numFmtId="0" fontId="19" fillId="7" borderId="9" xfId="0" applyFont="1" applyFill="1" applyBorder="1" applyAlignment="1">
      <alignment horizontal="center" vertical="center"/>
    </xf>
    <xf numFmtId="0" fontId="27" fillId="8" borderId="9" xfId="0" applyFont="1" applyFill="1" applyBorder="1" applyAlignment="1">
      <alignment horizontal="center" vertical="center"/>
    </xf>
    <xf numFmtId="0" fontId="27" fillId="0" borderId="9" xfId="0" applyFont="1" applyBorder="1" applyAlignment="1">
      <alignment vertical="center" wrapText="1"/>
    </xf>
    <xf numFmtId="0" fontId="27" fillId="0" borderId="9" xfId="0" applyFont="1" applyBorder="1" applyAlignment="1">
      <alignment horizontal="left" vertical="center" wrapText="1"/>
    </xf>
    <xf numFmtId="0" fontId="27" fillId="0" borderId="0" xfId="0" applyFont="1"/>
    <xf numFmtId="0" fontId="27" fillId="7" borderId="9" xfId="0" applyFont="1" applyFill="1" applyBorder="1" applyAlignment="1">
      <alignment horizontal="left" vertical="center" wrapText="1"/>
    </xf>
    <xf numFmtId="0" fontId="28" fillId="0" borderId="9" xfId="0" applyFont="1" applyBorder="1" applyAlignment="1">
      <alignment vertical="center" wrapText="1"/>
    </xf>
    <xf numFmtId="0" fontId="28" fillId="0" borderId="9" xfId="0" applyFont="1" applyBorder="1" applyAlignment="1">
      <alignment horizontal="center" vertical="center" wrapText="1"/>
    </xf>
    <xf numFmtId="9" fontId="28" fillId="4" borderId="9" xfId="1" applyFont="1" applyFill="1" applyBorder="1" applyAlignment="1">
      <alignment horizontal="center" vertical="center" wrapText="1"/>
    </xf>
    <xf numFmtId="0" fontId="28" fillId="0" borderId="6" xfId="0" applyFont="1" applyBorder="1" applyAlignment="1">
      <alignment vertical="center" wrapText="1"/>
    </xf>
    <xf numFmtId="0" fontId="28" fillId="0" borderId="6" xfId="0" applyFont="1" applyBorder="1" applyAlignment="1">
      <alignment horizontal="center" vertical="center" wrapText="1"/>
    </xf>
    <xf numFmtId="0" fontId="28" fillId="4" borderId="6"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9" xfId="0" applyFont="1" applyBorder="1" applyAlignment="1">
      <alignment horizontal="center" vertical="center"/>
    </xf>
    <xf numFmtId="0" fontId="28" fillId="0" borderId="9" xfId="0" applyFont="1" applyBorder="1" applyAlignment="1">
      <alignment horizontal="left" vertical="center" wrapText="1"/>
    </xf>
    <xf numFmtId="0" fontId="28" fillId="4" borderId="9" xfId="0" applyFont="1" applyFill="1" applyBorder="1" applyAlignment="1">
      <alignment horizontal="center" vertical="center" wrapText="1"/>
    </xf>
    <xf numFmtId="0" fontId="28" fillId="0" borderId="9" xfId="0" applyFont="1" applyBorder="1" applyAlignment="1">
      <alignment horizontal="center"/>
    </xf>
    <xf numFmtId="9" fontId="28" fillId="4" borderId="9" xfId="1" applyFont="1" applyFill="1" applyBorder="1" applyAlignment="1">
      <alignment horizontal="center" vertical="center"/>
    </xf>
    <xf numFmtId="9" fontId="28" fillId="4" borderId="9" xfId="0" applyNumberFormat="1" applyFont="1" applyFill="1" applyBorder="1" applyAlignment="1">
      <alignment horizontal="center" vertical="center"/>
    </xf>
    <xf numFmtId="1" fontId="28" fillId="0" borderId="9" xfId="0" applyNumberFormat="1" applyFont="1" applyBorder="1" applyAlignment="1">
      <alignment horizontal="center" vertical="center"/>
    </xf>
    <xf numFmtId="3" fontId="28" fillId="0" borderId="9" xfId="0" applyNumberFormat="1" applyFont="1" applyBorder="1" applyAlignment="1">
      <alignment horizontal="center" vertical="center" wrapText="1"/>
    </xf>
    <xf numFmtId="3" fontId="28" fillId="4" borderId="9" xfId="0" applyNumberFormat="1" applyFont="1" applyFill="1" applyBorder="1" applyAlignment="1">
      <alignment horizontal="center" vertical="center" wrapText="1"/>
    </xf>
    <xf numFmtId="0" fontId="28" fillId="0" borderId="5" xfId="0" applyFont="1" applyBorder="1" applyAlignment="1">
      <alignment horizontal="left" vertical="center" wrapText="1"/>
    </xf>
    <xf numFmtId="9" fontId="28" fillId="4" borderId="9" xfId="0" applyNumberFormat="1" applyFont="1" applyFill="1" applyBorder="1" applyAlignment="1">
      <alignment horizontal="center" vertical="center" wrapText="1"/>
    </xf>
    <xf numFmtId="0" fontId="28" fillId="4" borderId="9" xfId="0" applyFont="1" applyFill="1" applyBorder="1" applyAlignment="1">
      <alignment vertical="center" wrapText="1"/>
    </xf>
    <xf numFmtId="2" fontId="28" fillId="4" borderId="9"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4" fontId="0" fillId="4" borderId="1" xfId="4" applyFont="1" applyFill="1" applyBorder="1" applyAlignment="1">
      <alignment horizontal="center" vertical="center" wrapText="1"/>
    </xf>
    <xf numFmtId="0" fontId="19" fillId="7" borderId="9" xfId="0" applyFont="1" applyFill="1" applyBorder="1" applyAlignment="1">
      <alignment horizontal="center" vertical="center" wrapText="1"/>
    </xf>
    <xf numFmtId="9" fontId="0" fillId="0" borderId="1" xfId="1" applyFont="1" applyFill="1" applyBorder="1" applyAlignment="1">
      <alignment horizontal="center" vertical="center"/>
    </xf>
    <xf numFmtId="0" fontId="27" fillId="7" borderId="9" xfId="0" applyFont="1" applyFill="1" applyBorder="1" applyAlignment="1">
      <alignment horizontal="center" vertical="center" wrapText="1"/>
    </xf>
    <xf numFmtId="164" fontId="0" fillId="4" borderId="1" xfId="4" applyFont="1" applyFill="1" applyBorder="1" applyAlignment="1">
      <alignment horizontal="center" vertical="center"/>
    </xf>
    <xf numFmtId="0" fontId="0" fillId="0" borderId="0" xfId="0" applyAlignment="1">
      <alignment vertical="center"/>
    </xf>
    <xf numFmtId="3" fontId="12" fillId="7" borderId="6" xfId="0" applyNumberFormat="1" applyFont="1" applyFill="1" applyBorder="1" applyAlignment="1">
      <alignment horizontal="center" vertical="center" wrapText="1"/>
    </xf>
    <xf numFmtId="10" fontId="0" fillId="4" borderId="1" xfId="1"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9" fontId="27" fillId="8" borderId="9" xfId="1" applyFont="1" applyFill="1" applyBorder="1" applyAlignment="1">
      <alignment horizontal="center" vertical="center"/>
    </xf>
    <xf numFmtId="0" fontId="12" fillId="4" borderId="9" xfId="0" applyFont="1" applyFill="1" applyBorder="1" applyAlignment="1">
      <alignment vertical="center" wrapText="1"/>
    </xf>
    <xf numFmtId="0" fontId="27" fillId="4" borderId="8" xfId="0" applyFont="1" applyFill="1" applyBorder="1" applyAlignment="1">
      <alignment vertical="center" wrapText="1"/>
    </xf>
    <xf numFmtId="0" fontId="28" fillId="0" borderId="8"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19" fillId="7" borderId="5" xfId="0" applyFont="1" applyFill="1" applyBorder="1" applyAlignment="1">
      <alignment horizontal="center" vertical="center"/>
    </xf>
    <xf numFmtId="0" fontId="19" fillId="7" borderId="5" xfId="0" applyFont="1" applyFill="1" applyBorder="1" applyAlignment="1">
      <alignment horizontal="center" vertical="center" wrapText="1"/>
    </xf>
    <xf numFmtId="166" fontId="23" fillId="4" borderId="1" xfId="0" applyNumberFormat="1" applyFont="1" applyFill="1" applyBorder="1" applyAlignment="1">
      <alignment horizontal="center" vertical="center" wrapText="1"/>
    </xf>
    <xf numFmtId="0" fontId="0" fillId="4" borderId="1" xfId="0" applyFill="1" applyBorder="1" applyAlignment="1">
      <alignment horizontal="left" vertical="center" wrapText="1"/>
    </xf>
    <xf numFmtId="166" fontId="23" fillId="0" borderId="9" xfId="0" applyNumberFormat="1" applyFont="1" applyBorder="1" applyAlignment="1">
      <alignment horizontal="center" vertical="center" wrapText="1"/>
    </xf>
    <xf numFmtId="169" fontId="0" fillId="4" borderId="1" xfId="4" applyNumberFormat="1" applyFont="1" applyFill="1" applyBorder="1" applyAlignment="1">
      <alignment horizontal="center" vertical="center"/>
    </xf>
    <xf numFmtId="1" fontId="0" fillId="4" borderId="1" xfId="0" applyNumberFormat="1" applyFill="1" applyBorder="1" applyAlignment="1">
      <alignment horizontal="center" vertical="center" wrapText="1"/>
    </xf>
    <xf numFmtId="0" fontId="28" fillId="4" borderId="6" xfId="0" applyFont="1" applyFill="1" applyBorder="1" applyAlignment="1">
      <alignment horizontal="center"/>
    </xf>
    <xf numFmtId="0" fontId="28" fillId="4" borderId="9" xfId="0" applyFont="1" applyFill="1" applyBorder="1" applyAlignment="1">
      <alignment horizontal="center"/>
    </xf>
    <xf numFmtId="0" fontId="30" fillId="4" borderId="1" xfId="0" applyFont="1" applyFill="1" applyBorder="1" applyAlignment="1">
      <alignment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10" fontId="28" fillId="4" borderId="9" xfId="0" applyNumberFormat="1" applyFont="1" applyFill="1" applyBorder="1" applyAlignment="1">
      <alignment horizontal="center" vertical="center"/>
    </xf>
    <xf numFmtId="9" fontId="27" fillId="8" borderId="9" xfId="0" applyNumberFormat="1" applyFont="1" applyFill="1" applyBorder="1" applyAlignment="1">
      <alignment horizontal="center" vertical="center"/>
    </xf>
    <xf numFmtId="165" fontId="27" fillId="7" borderId="9" xfId="1" applyNumberFormat="1" applyFont="1" applyFill="1" applyBorder="1" applyAlignment="1">
      <alignment horizontal="center" vertical="center"/>
    </xf>
    <xf numFmtId="10" fontId="28" fillId="4" borderId="9" xfId="1" applyNumberFormat="1" applyFont="1" applyFill="1" applyBorder="1" applyAlignment="1">
      <alignment horizontal="center" vertical="center" wrapText="1"/>
    </xf>
    <xf numFmtId="165" fontId="30" fillId="4" borderId="1" xfId="1" applyNumberFormat="1" applyFont="1" applyFill="1" applyBorder="1" applyAlignment="1">
      <alignment horizontal="center" vertical="center" wrapText="1"/>
    </xf>
    <xf numFmtId="1" fontId="0" fillId="4" borderId="1" xfId="1" applyNumberFormat="1" applyFont="1" applyFill="1" applyBorder="1" applyAlignment="1">
      <alignment horizontal="center" vertical="center"/>
    </xf>
    <xf numFmtId="10" fontId="27" fillId="8" borderId="9" xfId="1" applyNumberFormat="1" applyFont="1" applyFill="1" applyBorder="1" applyAlignment="1">
      <alignment horizontal="center" vertical="center"/>
    </xf>
    <xf numFmtId="2" fontId="28" fillId="4" borderId="9" xfId="1" applyNumberFormat="1" applyFont="1" applyFill="1" applyBorder="1" applyAlignment="1">
      <alignment horizontal="center" vertical="center"/>
    </xf>
    <xf numFmtId="2" fontId="28" fillId="4" borderId="9" xfId="0" applyNumberFormat="1" applyFont="1" applyFill="1" applyBorder="1" applyAlignment="1">
      <alignment horizontal="center" vertical="center"/>
    </xf>
    <xf numFmtId="1" fontId="28" fillId="4" borderId="9" xfId="0" applyNumberFormat="1" applyFont="1" applyFill="1" applyBorder="1" applyAlignment="1">
      <alignment horizontal="center" vertical="center"/>
    </xf>
    <xf numFmtId="3" fontId="12" fillId="7" borderId="9" xfId="0" applyNumberFormat="1" applyFont="1" applyFill="1" applyBorder="1" applyAlignment="1">
      <alignment horizontal="center" vertical="center" wrapText="1"/>
    </xf>
    <xf numFmtId="166" fontId="30" fillId="4" borderId="1" xfId="0" applyNumberFormat="1" applyFont="1" applyFill="1" applyBorder="1" applyAlignment="1">
      <alignment horizontal="center" vertical="center" wrapText="1"/>
    </xf>
    <xf numFmtId="10" fontId="30" fillId="4" borderId="1" xfId="1" applyNumberFormat="1" applyFont="1" applyFill="1" applyBorder="1" applyAlignment="1">
      <alignment horizontal="center" vertical="center"/>
    </xf>
    <xf numFmtId="9" fontId="0" fillId="4" borderId="1" xfId="1" applyFont="1" applyFill="1" applyBorder="1" applyAlignment="1">
      <alignment horizontal="center" vertical="center"/>
    </xf>
    <xf numFmtId="9" fontId="30" fillId="4" borderId="33" xfId="1" applyFont="1" applyFill="1" applyBorder="1" applyAlignment="1">
      <alignment horizontal="center" vertical="center" wrapText="1"/>
    </xf>
    <xf numFmtId="1" fontId="30" fillId="10" borderId="9" xfId="1" applyNumberFormat="1" applyFont="1" applyFill="1" applyBorder="1" applyAlignment="1">
      <alignment horizontal="center" vertical="center" wrapText="1"/>
    </xf>
    <xf numFmtId="1" fontId="30" fillId="10" borderId="0" xfId="1" applyNumberFormat="1" applyFont="1" applyFill="1" applyBorder="1" applyAlignment="1">
      <alignment horizontal="center" vertical="center" wrapText="1"/>
    </xf>
    <xf numFmtId="9" fontId="2" fillId="0" borderId="27" xfId="0" applyNumberFormat="1" applyFont="1" applyBorder="1" applyAlignment="1">
      <alignment vertical="center" wrapText="1"/>
    </xf>
    <xf numFmtId="1" fontId="30" fillId="10" borderId="8" xfId="1" applyNumberFormat="1" applyFont="1" applyFill="1" applyBorder="1" applyAlignment="1">
      <alignment horizontal="center" vertical="center" wrapText="1"/>
    </xf>
    <xf numFmtId="0" fontId="2" fillId="0" borderId="9" xfId="0" applyFont="1" applyBorder="1" applyAlignment="1">
      <alignment horizontal="center" vertical="center" wrapText="1"/>
    </xf>
    <xf numFmtId="9" fontId="11" fillId="0" borderId="1" xfId="1" applyFont="1" applyFill="1" applyBorder="1" applyAlignment="1">
      <alignment horizontal="center" vertical="center" wrapText="1"/>
    </xf>
    <xf numFmtId="9" fontId="2" fillId="0" borderId="1" xfId="1" applyFont="1" applyBorder="1" applyAlignment="1">
      <alignment horizontal="center" vertical="center" wrapText="1"/>
    </xf>
    <xf numFmtId="0" fontId="29" fillId="4" borderId="9" xfId="0" applyFont="1" applyFill="1" applyBorder="1" applyAlignment="1">
      <alignment horizontal="center"/>
    </xf>
    <xf numFmtId="0" fontId="29" fillId="0" borderId="9" xfId="0" applyFont="1" applyBorder="1" applyAlignment="1">
      <alignment horizontal="center" vertical="center"/>
    </xf>
    <xf numFmtId="165" fontId="28" fillId="4" borderId="9" xfId="1" applyNumberFormat="1" applyFont="1" applyFill="1" applyBorder="1" applyAlignment="1">
      <alignment horizontal="center" vertical="center"/>
    </xf>
    <xf numFmtId="2" fontId="29" fillId="4" borderId="9" xfId="0" applyNumberFormat="1" applyFont="1" applyFill="1" applyBorder="1" applyAlignment="1">
      <alignment horizontal="center" vertical="center"/>
    </xf>
    <xf numFmtId="9" fontId="12" fillId="7" borderId="8" xfId="0" applyNumberFormat="1" applyFont="1" applyFill="1" applyBorder="1" applyAlignment="1">
      <alignment horizontal="center" vertical="center" wrapText="1"/>
    </xf>
    <xf numFmtId="9" fontId="12" fillId="7" borderId="8" xfId="0" applyNumberFormat="1" applyFont="1" applyFill="1" applyBorder="1" applyAlignment="1">
      <alignment horizontal="center" vertical="center"/>
    </xf>
    <xf numFmtId="0" fontId="11" fillId="6" borderId="26" xfId="0" applyFont="1" applyFill="1" applyBorder="1" applyAlignment="1">
      <alignment horizontal="center" vertical="center" wrapText="1"/>
    </xf>
    <xf numFmtId="9" fontId="12" fillId="7" borderId="9" xfId="0" applyNumberFormat="1" applyFont="1" applyFill="1" applyBorder="1" applyAlignment="1">
      <alignment horizontal="center" vertical="center" wrapText="1"/>
    </xf>
    <xf numFmtId="9" fontId="27" fillId="7" borderId="9" xfId="0" applyNumberFormat="1" applyFont="1" applyFill="1" applyBorder="1" applyAlignment="1">
      <alignment horizontal="center" vertical="center"/>
    </xf>
    <xf numFmtId="0" fontId="0" fillId="4" borderId="9" xfId="0" applyFill="1" applyBorder="1" applyAlignment="1">
      <alignment horizontal="center" vertical="center"/>
    </xf>
    <xf numFmtId="9" fontId="12" fillId="7" borderId="8" xfId="1" applyFont="1" applyFill="1" applyBorder="1" applyAlignment="1">
      <alignment horizontal="center" vertical="center" wrapText="1"/>
    </xf>
    <xf numFmtId="10" fontId="12" fillId="7" borderId="9" xfId="0" applyNumberFormat="1" applyFont="1" applyFill="1" applyBorder="1" applyAlignment="1">
      <alignment horizontal="center" vertical="center" wrapText="1"/>
    </xf>
    <xf numFmtId="10" fontId="27" fillId="8" borderId="9" xfId="0" applyNumberFormat="1" applyFont="1" applyFill="1" applyBorder="1" applyAlignment="1">
      <alignment horizontal="center" vertical="center"/>
    </xf>
    <xf numFmtId="0" fontId="2" fillId="0" borderId="26" xfId="0" applyFont="1" applyBorder="1" applyAlignment="1">
      <alignment horizontal="center"/>
    </xf>
    <xf numFmtId="0" fontId="7" fillId="4" borderId="9" xfId="0" applyFont="1" applyFill="1" applyBorder="1" applyAlignment="1">
      <alignment horizontal="center" vertical="center"/>
    </xf>
    <xf numFmtId="165" fontId="28" fillId="4" borderId="9" xfId="0" applyNumberFormat="1" applyFont="1" applyFill="1" applyBorder="1" applyAlignment="1">
      <alignment horizontal="center" vertical="center"/>
    </xf>
    <xf numFmtId="0" fontId="31" fillId="4" borderId="9" xfId="0" applyFont="1" applyFill="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3" xfId="0" applyFont="1" applyBorder="1" applyAlignment="1">
      <alignment horizontal="center"/>
    </xf>
    <xf numFmtId="0" fontId="2" fillId="0" borderId="0" xfId="0" applyFont="1" applyAlignment="1">
      <alignment horizontal="center"/>
    </xf>
    <xf numFmtId="0" fontId="2" fillId="0" borderId="28" xfId="0" applyFont="1" applyBorder="1" applyAlignment="1">
      <alignment horizontal="center"/>
    </xf>
    <xf numFmtId="0" fontId="20" fillId="11" borderId="26" xfId="0" applyFont="1" applyFill="1" applyBorder="1" applyAlignment="1">
      <alignment horizontal="center" wrapText="1"/>
    </xf>
    <xf numFmtId="0" fontId="20" fillId="11" borderId="34" xfId="0" applyFont="1" applyFill="1" applyBorder="1" applyAlignment="1">
      <alignment horizontal="center" wrapText="1"/>
    </xf>
    <xf numFmtId="0" fontId="20" fillId="11" borderId="27" xfId="0" applyFont="1" applyFill="1" applyBorder="1" applyAlignment="1">
      <alignment horizontal="center" wrapText="1"/>
    </xf>
    <xf numFmtId="0" fontId="20" fillId="11" borderId="26" xfId="0" applyFont="1" applyFill="1" applyBorder="1" applyAlignment="1">
      <alignment horizontal="center"/>
    </xf>
    <xf numFmtId="0" fontId="20" fillId="11" borderId="34" xfId="0" applyFont="1" applyFill="1" applyBorder="1" applyAlignment="1">
      <alignment horizontal="center"/>
    </xf>
    <xf numFmtId="0" fontId="20" fillId="11" borderId="27" xfId="0" applyFont="1" applyFill="1" applyBorder="1" applyAlignment="1">
      <alignment horizontal="center"/>
    </xf>
    <xf numFmtId="0" fontId="25" fillId="0" borderId="26" xfId="0" applyFont="1" applyBorder="1" applyAlignment="1">
      <alignment horizontal="center"/>
    </xf>
    <xf numFmtId="0" fontId="25" fillId="0" borderId="34" xfId="0" applyFont="1" applyBorder="1" applyAlignment="1">
      <alignment horizontal="center"/>
    </xf>
    <xf numFmtId="0" fontId="25" fillId="0" borderId="27" xfId="0" applyFont="1" applyBorder="1" applyAlignment="1">
      <alignment horizontal="center"/>
    </xf>
    <xf numFmtId="0" fontId="14" fillId="0" borderId="2" xfId="0" applyFont="1" applyBorder="1" applyAlignment="1">
      <alignment vertical="center" wrapText="1"/>
    </xf>
    <xf numFmtId="0" fontId="14" fillId="0" borderId="4" xfId="0" applyFont="1" applyBorder="1" applyAlignment="1">
      <alignment vertical="center" wrapText="1"/>
    </xf>
    <xf numFmtId="0" fontId="6" fillId="5" borderId="2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2" fillId="0" borderId="34" xfId="0" applyFont="1" applyBorder="1" applyAlignment="1">
      <alignment horizontal="center"/>
    </xf>
    <xf numFmtId="0" fontId="6" fillId="12" borderId="2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0" fillId="0" borderId="2"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6" fillId="5" borderId="2"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2" xfId="0" applyFont="1" applyFill="1" applyBorder="1" applyAlignment="1">
      <alignment horizontal="center" vertical="center" wrapText="1"/>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28" xfId="0" applyFont="1" applyBorder="1" applyAlignment="1">
      <alignment horizontal="center" vertical="center"/>
    </xf>
    <xf numFmtId="0" fontId="6" fillId="5" borderId="36"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23" xfId="0" applyBorder="1" applyAlignment="1">
      <alignment horizontal="center" vertical="center" wrapText="1"/>
    </xf>
    <xf numFmtId="0" fontId="0" fillId="0" borderId="0" xfId="0" applyAlignment="1">
      <alignment horizontal="center" vertical="center" wrapText="1"/>
    </xf>
    <xf numFmtId="0" fontId="28" fillId="0" borderId="8"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4" borderId="8"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3" fillId="2" borderId="0" xfId="0" applyFont="1" applyFill="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wrapText="1"/>
    </xf>
    <xf numFmtId="0" fontId="0" fillId="3" borderId="3" xfId="0" applyFill="1" applyBorder="1" applyAlignment="1">
      <alignment horizontal="center" vertical="center" wrapText="1"/>
    </xf>
    <xf numFmtId="0" fontId="28" fillId="0" borderId="8"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8" fillId="0" borderId="35" xfId="0" applyFont="1" applyBorder="1" applyAlignment="1">
      <alignment horizontal="center" vertical="center"/>
    </xf>
    <xf numFmtId="0" fontId="28" fillId="0" borderId="35" xfId="0" applyFont="1" applyBorder="1" applyAlignment="1">
      <alignment horizontal="center" vertical="center" wrapText="1"/>
    </xf>
    <xf numFmtId="0" fontId="28" fillId="4" borderId="35" xfId="0" applyFont="1" applyFill="1" applyBorder="1" applyAlignment="1">
      <alignment horizontal="center" vertical="center" wrapText="1"/>
    </xf>
    <xf numFmtId="0" fontId="28" fillId="0" borderId="8"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7" fillId="7" borderId="8"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6" xfId="0" applyFont="1" applyFill="1" applyBorder="1" applyAlignment="1">
      <alignment horizontal="center" vertical="center"/>
    </xf>
    <xf numFmtId="0" fontId="0" fillId="0" borderId="0" xfId="0" applyAlignment="1">
      <alignment horizontal="center"/>
    </xf>
    <xf numFmtId="0" fontId="27" fillId="7" borderId="9" xfId="0" applyFont="1" applyFill="1" applyBorder="1" applyAlignment="1">
      <alignment horizontal="center" vertical="center"/>
    </xf>
    <xf numFmtId="0" fontId="27" fillId="7" borderId="8"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7" fillId="7" borderId="8" xfId="0" applyFont="1" applyFill="1" applyBorder="1" applyAlignment="1">
      <alignment horizontal="left" vertical="center"/>
    </xf>
    <xf numFmtId="0" fontId="27" fillId="7" borderId="6" xfId="0" applyFont="1" applyFill="1" applyBorder="1" applyAlignment="1">
      <alignment horizontal="left" vertical="center"/>
    </xf>
    <xf numFmtId="49" fontId="27" fillId="7" borderId="8" xfId="0" applyNumberFormat="1" applyFont="1" applyFill="1" applyBorder="1" applyAlignment="1">
      <alignment horizontal="left" vertical="center" wrapText="1"/>
    </xf>
    <xf numFmtId="49" fontId="27" fillId="7" borderId="6" xfId="0" applyNumberFormat="1" applyFont="1" applyFill="1" applyBorder="1" applyAlignment="1">
      <alignment horizontal="left" vertical="center" wrapText="1"/>
    </xf>
    <xf numFmtId="0" fontId="2" fillId="0" borderId="9" xfId="0" applyFont="1" applyBorder="1" applyAlignment="1">
      <alignment horizontal="center"/>
    </xf>
    <xf numFmtId="0" fontId="11" fillId="6" borderId="29"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30"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31"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2" fillId="6" borderId="17" xfId="0" applyFont="1" applyFill="1" applyBorder="1" applyAlignment="1">
      <alignment horizontal="center"/>
    </xf>
    <xf numFmtId="0" fontId="2" fillId="6" borderId="18" xfId="0" applyFont="1" applyFill="1" applyBorder="1" applyAlignment="1">
      <alignment horizontal="center"/>
    </xf>
    <xf numFmtId="0" fontId="0" fillId="0" borderId="28" xfId="0" applyBorder="1" applyAlignment="1">
      <alignment horizontal="center"/>
    </xf>
    <xf numFmtId="0" fontId="21" fillId="7" borderId="8" xfId="0" applyFont="1" applyFill="1" applyBorder="1" applyAlignment="1">
      <alignment horizontal="center" vertical="center"/>
    </xf>
    <xf numFmtId="0" fontId="21" fillId="7" borderId="6" xfId="0" applyFont="1" applyFill="1" applyBorder="1" applyAlignment="1">
      <alignment horizontal="center" vertical="center"/>
    </xf>
    <xf numFmtId="3" fontId="12" fillId="7" borderId="8" xfId="0" applyNumberFormat="1" applyFont="1" applyFill="1" applyBorder="1" applyAlignment="1">
      <alignment horizontal="center" vertical="center" wrapText="1"/>
    </xf>
    <xf numFmtId="3" fontId="12" fillId="7" borderId="6" xfId="0" applyNumberFormat="1" applyFont="1" applyFill="1" applyBorder="1" applyAlignment="1">
      <alignment horizontal="center" vertical="center" wrapText="1"/>
    </xf>
    <xf numFmtId="0" fontId="19" fillId="7" borderId="8"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8" xfId="0" applyFont="1" applyFill="1" applyBorder="1" applyAlignment="1">
      <alignment horizontal="center" vertical="center" wrapText="1"/>
    </xf>
    <xf numFmtId="0" fontId="19" fillId="7" borderId="5" xfId="0" applyFont="1" applyFill="1" applyBorder="1" applyAlignment="1">
      <alignment horizontal="center" vertical="center"/>
    </xf>
    <xf numFmtId="0" fontId="19" fillId="7" borderId="5" xfId="0" applyFont="1" applyFill="1" applyBorder="1" applyAlignment="1">
      <alignment horizontal="center" vertical="center" wrapText="1"/>
    </xf>
    <xf numFmtId="0" fontId="27" fillId="7" borderId="9" xfId="0" applyFont="1" applyFill="1" applyBorder="1" applyAlignment="1">
      <alignment horizontal="center" vertical="center" wrapText="1"/>
    </xf>
  </cellXfs>
  <cellStyles count="7">
    <cellStyle name="Moneda" xfId="4" builtinId="4"/>
    <cellStyle name="Normal" xfId="0" builtinId="0"/>
    <cellStyle name="Normal 12" xfId="2" xr:uid="{00000000-0005-0000-0000-000002000000}"/>
    <cellStyle name="Normal 13" xfId="5" xr:uid="{00000000-0005-0000-0000-000003000000}"/>
    <cellStyle name="Porcentaje" xfId="1" builtinId="5"/>
    <cellStyle name="Porcentaje 10" xfId="6" xr:uid="{00000000-0005-0000-0000-000005000000}"/>
    <cellStyle name="Porcentaje 2" xfId="3" xr:uid="{00000000-0005-0000-0000-000006000000}"/>
  </cellStyles>
  <dxfs count="0"/>
  <tableStyles count="0" defaultTableStyle="TableStyleMedium2" defaultPivotStyle="PivotStyleLight16"/>
  <colors>
    <mruColors>
      <color rgb="FFCC0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9</xdr:col>
      <xdr:colOff>181851</xdr:colOff>
      <xdr:row>42</xdr:row>
      <xdr:rowOff>134007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62000" y="3429000"/>
          <a:ext cx="6277851" cy="4706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39714</xdr:colOff>
      <xdr:row>0</xdr:row>
      <xdr:rowOff>104776</xdr:rowOff>
    </xdr:from>
    <xdr:to>
      <xdr:col>0</xdr:col>
      <xdr:colOff>1142999</xdr:colOff>
      <xdr:row>2</xdr:row>
      <xdr:rowOff>64293</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714" y="104776"/>
          <a:ext cx="1103285" cy="552449"/>
        </a:xfrm>
        <a:prstGeom prst="rect">
          <a:avLst/>
        </a:prstGeom>
      </xdr:spPr>
    </xdr:pic>
    <xdr:clientData/>
  </xdr:twoCellAnchor>
  <xdr:twoCellAnchor editAs="oneCell">
    <xdr:from>
      <xdr:col>0</xdr:col>
      <xdr:colOff>1444624</xdr:colOff>
      <xdr:row>18</xdr:row>
      <xdr:rowOff>250825</xdr:rowOff>
    </xdr:from>
    <xdr:to>
      <xdr:col>7</xdr:col>
      <xdr:colOff>400049</xdr:colOff>
      <xdr:row>29</xdr:row>
      <xdr:rowOff>34473</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444624" y="12919075"/>
          <a:ext cx="11585575" cy="3784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1893093</xdr:colOff>
      <xdr:row>36</xdr:row>
      <xdr:rowOff>11907</xdr:rowOff>
    </xdr:from>
    <xdr:to>
      <xdr:col>3</xdr:col>
      <xdr:colOff>1599406</xdr:colOff>
      <xdr:row>39</xdr:row>
      <xdr:rowOff>100013</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17406" y="16299657"/>
          <a:ext cx="1619250" cy="659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2201333</xdr:colOff>
      <xdr:row>35</xdr:row>
      <xdr:rowOff>10583</xdr:rowOff>
    </xdr:from>
    <xdr:to>
      <xdr:col>1</xdr:col>
      <xdr:colOff>1402249</xdr:colOff>
      <xdr:row>40</xdr:row>
      <xdr:rowOff>12107</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1333" y="19420416"/>
          <a:ext cx="1423416" cy="954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T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causado"/>
      <sheetName val="RESUMEN PPTO 2022"/>
      <sheetName val="MODELO EBITDA POR MES"/>
      <sheetName val="DISEÑOS"/>
      <sheetName val="ESTUDIOS"/>
      <sheetName val="PRUEBAS"/>
      <sheetName val="NEPLAN"/>
      <sheetName val="EQUIPOS"/>
      <sheetName val="EST INTERNALES"/>
      <sheetName val="NUEVOS NEGOCIOS"/>
      <sheetName val="PROYECTOS BTA"/>
    </sheetNames>
    <sheetDataSet>
      <sheetData sheetId="0"/>
      <sheetData sheetId="1"/>
      <sheetData sheetId="2"/>
      <sheetData sheetId="3">
        <row r="7">
          <cell r="AB7">
            <v>2980446292.3261909</v>
          </cell>
        </row>
        <row r="38">
          <cell r="AB38">
            <v>2556248426.2799997</v>
          </cell>
        </row>
        <row r="50">
          <cell r="AB50">
            <v>2760248426.2799997</v>
          </cell>
        </row>
      </sheetData>
      <sheetData sheetId="4">
        <row r="7">
          <cell r="AB7">
            <v>2100000000</v>
          </cell>
        </row>
        <row r="38">
          <cell r="AB38">
            <v>1736397120</v>
          </cell>
        </row>
        <row r="50">
          <cell r="AB50">
            <v>1914897120</v>
          </cell>
        </row>
      </sheetData>
      <sheetData sheetId="5">
        <row r="7">
          <cell r="AB7">
            <v>6200000000</v>
          </cell>
        </row>
        <row r="38">
          <cell r="AB38">
            <v>5586560000</v>
          </cell>
        </row>
        <row r="50">
          <cell r="AB50">
            <v>5938460000</v>
          </cell>
        </row>
      </sheetData>
      <sheetData sheetId="6">
        <row r="7">
          <cell r="AB7">
            <v>1060800000</v>
          </cell>
        </row>
        <row r="38">
          <cell r="AB38">
            <v>667452359.84959996</v>
          </cell>
        </row>
        <row r="50">
          <cell r="AB50">
            <v>692952359.84959996</v>
          </cell>
        </row>
      </sheetData>
      <sheetData sheetId="7">
        <row r="7">
          <cell r="AB7">
            <v>2173672000</v>
          </cell>
        </row>
        <row r="38">
          <cell r="AB38">
            <v>1899353845.04</v>
          </cell>
        </row>
        <row r="50">
          <cell r="AB50">
            <v>1924853845.04</v>
          </cell>
        </row>
      </sheetData>
      <sheetData sheetId="8">
        <row r="7">
          <cell r="AB7">
            <v>1080000000</v>
          </cell>
        </row>
      </sheetData>
      <sheetData sheetId="9">
        <row r="7">
          <cell r="AB7">
            <v>0</v>
          </cell>
        </row>
        <row r="38">
          <cell r="AB38">
            <v>320642667.4418602</v>
          </cell>
        </row>
        <row r="50">
          <cell r="AB50">
            <v>351242667.4418602</v>
          </cell>
        </row>
      </sheetData>
      <sheetData sheetId="10">
        <row r="7">
          <cell r="AB7">
            <v>1489097505</v>
          </cell>
        </row>
        <row r="38">
          <cell r="AB38">
            <v>1184850000</v>
          </cell>
        </row>
        <row r="50">
          <cell r="AB50">
            <v>1291950000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3"/>
  <sheetViews>
    <sheetView topLeftCell="A22" workbookViewId="0">
      <selection activeCell="K24" sqref="K24"/>
    </sheetView>
  </sheetViews>
  <sheetFormatPr baseColWidth="10" defaultRowHeight="15" x14ac:dyDescent="0.25"/>
  <cols>
    <col min="2" max="2" width="11.42578125" customWidth="1"/>
  </cols>
  <sheetData>
    <row r="1" spans="1:10" x14ac:dyDescent="0.25">
      <c r="A1" s="47"/>
      <c r="B1" s="49"/>
      <c r="C1" s="47"/>
      <c r="D1" s="48"/>
      <c r="E1" s="48"/>
      <c r="F1" s="48"/>
      <c r="G1" s="48"/>
      <c r="H1" s="49"/>
      <c r="I1" s="211" t="s">
        <v>196</v>
      </c>
      <c r="J1" s="212"/>
    </row>
    <row r="2" spans="1:10" x14ac:dyDescent="0.25">
      <c r="A2" s="53"/>
      <c r="B2" s="54"/>
      <c r="C2" s="213" t="s">
        <v>198</v>
      </c>
      <c r="D2" s="214"/>
      <c r="E2" s="214"/>
      <c r="F2" s="214"/>
      <c r="G2" s="214"/>
      <c r="H2" s="215"/>
      <c r="I2" s="211" t="s">
        <v>197</v>
      </c>
      <c r="J2" s="212"/>
    </row>
    <row r="3" spans="1:10" x14ac:dyDescent="0.25">
      <c r="A3" s="50"/>
      <c r="B3" s="52"/>
      <c r="C3" s="50"/>
      <c r="D3" s="51"/>
      <c r="E3" s="51"/>
      <c r="F3" s="51"/>
      <c r="G3" s="51"/>
      <c r="H3" s="52"/>
      <c r="I3" s="211" t="s">
        <v>174</v>
      </c>
      <c r="J3" s="212"/>
    </row>
  </sheetData>
  <mergeCells count="4">
    <mergeCell ref="I1:J1"/>
    <mergeCell ref="I2:J2"/>
    <mergeCell ref="I3:J3"/>
    <mergeCell ref="C2:H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topLeftCell="A16" workbookViewId="0">
      <selection activeCell="E15" sqref="E15"/>
    </sheetView>
  </sheetViews>
  <sheetFormatPr baseColWidth="10" defaultRowHeight="15" x14ac:dyDescent="0.25"/>
  <cols>
    <col min="1" max="1" width="26.7109375" customWidth="1"/>
    <col min="2" max="2" width="14.42578125" customWidth="1"/>
    <col min="3" max="3" width="15.140625" customWidth="1"/>
    <col min="4" max="4" width="15.28515625" customWidth="1"/>
    <col min="5" max="5" width="14.85546875" customWidth="1"/>
    <col min="6" max="6" width="14.42578125" customWidth="1"/>
    <col min="7" max="7" width="15.28515625" customWidth="1"/>
    <col min="8" max="8" width="14.85546875" customWidth="1"/>
    <col min="9" max="9" width="13.85546875" customWidth="1"/>
    <col min="10" max="10" width="15.140625" customWidth="1"/>
    <col min="11" max="11" width="16.7109375" customWidth="1"/>
    <col min="12" max="12" width="16.140625" customWidth="1"/>
    <col min="13" max="13" width="16.42578125" customWidth="1"/>
    <col min="14" max="14" width="16.140625" customWidth="1"/>
    <col min="15" max="15" width="17.42578125" customWidth="1"/>
  </cols>
  <sheetData>
    <row r="1" spans="1:8" ht="18.75" x14ac:dyDescent="0.3">
      <c r="A1" s="36" t="s">
        <v>180</v>
      </c>
    </row>
    <row r="2" spans="1:8" x14ac:dyDescent="0.25">
      <c r="A2" s="31" t="s">
        <v>287</v>
      </c>
    </row>
    <row r="4" spans="1:8" x14ac:dyDescent="0.25">
      <c r="C4" s="216" t="s">
        <v>210</v>
      </c>
      <c r="D4" s="217"/>
      <c r="E4" s="218"/>
      <c r="F4" s="219" t="s">
        <v>215</v>
      </c>
      <c r="G4" s="220"/>
      <c r="H4" s="221"/>
    </row>
    <row r="5" spans="1:8" ht="24" x14ac:dyDescent="0.25">
      <c r="A5" s="37" t="s">
        <v>72</v>
      </c>
      <c r="B5" s="38" t="s">
        <v>162</v>
      </c>
      <c r="C5" s="38" t="s">
        <v>163</v>
      </c>
      <c r="D5" s="38" t="s">
        <v>164</v>
      </c>
      <c r="E5" s="38" t="s">
        <v>216</v>
      </c>
      <c r="F5" s="38" t="s">
        <v>163</v>
      </c>
      <c r="G5" s="38" t="s">
        <v>164</v>
      </c>
      <c r="H5" s="38" t="s">
        <v>217</v>
      </c>
    </row>
    <row r="6" spans="1:8" x14ac:dyDescent="0.25">
      <c r="A6" s="25" t="s">
        <v>74</v>
      </c>
      <c r="B6" s="26">
        <f>+[1]DISEÑOS!AB7</f>
        <v>2980446292.3261909</v>
      </c>
      <c r="C6" s="26">
        <f>+[1]DISEÑOS!AB38</f>
        <v>2556248426.2799997</v>
      </c>
      <c r="D6" s="26">
        <f>+B6-C6</f>
        <v>424197866.04619122</v>
      </c>
      <c r="E6" s="39">
        <f>+D6/B6</f>
        <v>0.14232696195143027</v>
      </c>
      <c r="F6" s="26">
        <f>+[1]DISEÑOS!AB50</f>
        <v>2760248426.2799997</v>
      </c>
      <c r="G6" s="26">
        <f>+B6-F6</f>
        <v>220197866.04619122</v>
      </c>
      <c r="H6" s="39">
        <f>+G6/B6</f>
        <v>7.388083677707552E-2</v>
      </c>
    </row>
    <row r="7" spans="1:8" x14ac:dyDescent="0.25">
      <c r="A7" s="25" t="s">
        <v>75</v>
      </c>
      <c r="B7" s="26">
        <f>+[1]ESTUDIOS!AB7</f>
        <v>2100000000</v>
      </c>
      <c r="C7" s="26">
        <f>+[1]ESTUDIOS!AB38</f>
        <v>1736397120</v>
      </c>
      <c r="D7" s="26">
        <f t="shared" ref="D7:D13" si="0">+B7-C7</f>
        <v>363602880</v>
      </c>
      <c r="E7" s="39">
        <f t="shared" ref="E7:E14" si="1">+D7/B7</f>
        <v>0.17314422857142858</v>
      </c>
      <c r="F7" s="26">
        <f>+[1]ESTUDIOS!AB50</f>
        <v>1914897120</v>
      </c>
      <c r="G7" s="26">
        <f t="shared" ref="G7:G13" si="2">+B7-F7</f>
        <v>185102880</v>
      </c>
      <c r="H7" s="39">
        <f t="shared" ref="H7:H14" si="3">+G7/B7</f>
        <v>8.8144228571428576E-2</v>
      </c>
    </row>
    <row r="8" spans="1:8" x14ac:dyDescent="0.25">
      <c r="A8" s="25" t="s">
        <v>79</v>
      </c>
      <c r="B8" s="26">
        <f>+'[1]EST INTERNALES'!AB7</f>
        <v>1080000000</v>
      </c>
      <c r="C8" s="26">
        <v>3500000</v>
      </c>
      <c r="D8" s="26">
        <f t="shared" si="0"/>
        <v>1076500000</v>
      </c>
      <c r="E8" s="39">
        <f t="shared" si="1"/>
        <v>0.99675925925925923</v>
      </c>
      <c r="F8" s="26">
        <f>+B8*0.95</f>
        <v>1026000000</v>
      </c>
      <c r="G8" s="26">
        <f t="shared" si="2"/>
        <v>54000000</v>
      </c>
      <c r="H8" s="39">
        <f t="shared" si="3"/>
        <v>0.05</v>
      </c>
    </row>
    <row r="9" spans="1:8" x14ac:dyDescent="0.25">
      <c r="A9" s="25" t="s">
        <v>76</v>
      </c>
      <c r="B9" s="26">
        <f>+[1]NEPLAN!AB7</f>
        <v>1060800000</v>
      </c>
      <c r="C9" s="26">
        <f>+[1]NEPLAN!AB38</f>
        <v>667452359.84959996</v>
      </c>
      <c r="D9" s="26">
        <f t="shared" si="0"/>
        <v>393347640.15040004</v>
      </c>
      <c r="E9" s="39">
        <f t="shared" si="1"/>
        <v>0.37080282819607846</v>
      </c>
      <c r="F9" s="26">
        <f>+[1]NEPLAN!AB50</f>
        <v>692952359.84959996</v>
      </c>
      <c r="G9" s="26">
        <f t="shared" si="2"/>
        <v>367847640.15040004</v>
      </c>
      <c r="H9" s="39">
        <f t="shared" si="3"/>
        <v>0.34676436665761695</v>
      </c>
    </row>
    <row r="10" spans="1:8" x14ac:dyDescent="0.25">
      <c r="A10" s="40" t="s">
        <v>181</v>
      </c>
      <c r="B10" s="26">
        <f>+'[1]NUEVOS NEGOCIOS'!AB7</f>
        <v>0</v>
      </c>
      <c r="C10" s="26">
        <f>+'[1]NUEVOS NEGOCIOS'!AB38</f>
        <v>320642667.4418602</v>
      </c>
      <c r="D10" s="26">
        <f t="shared" si="0"/>
        <v>-320642667.4418602</v>
      </c>
      <c r="E10" s="39"/>
      <c r="F10" s="26">
        <f>+'[1]NUEVOS NEGOCIOS'!AB50</f>
        <v>351242667.4418602</v>
      </c>
      <c r="G10" s="26">
        <f t="shared" si="2"/>
        <v>-351242667.4418602</v>
      </c>
      <c r="H10" s="39"/>
    </row>
    <row r="11" spans="1:8" x14ac:dyDescent="0.25">
      <c r="A11" s="25" t="s">
        <v>77</v>
      </c>
      <c r="B11" s="26">
        <f>+[1]PRUEBAS!AB7</f>
        <v>6200000000</v>
      </c>
      <c r="C11" s="26">
        <f>+[1]PRUEBAS!AB38</f>
        <v>5586560000</v>
      </c>
      <c r="D11" s="26">
        <f t="shared" si="0"/>
        <v>613440000</v>
      </c>
      <c r="E11" s="39">
        <f t="shared" si="1"/>
        <v>9.8941935483870966E-2</v>
      </c>
      <c r="F11" s="26">
        <f>+[1]PRUEBAS!AB50</f>
        <v>5938460000</v>
      </c>
      <c r="G11" s="26">
        <f t="shared" si="2"/>
        <v>261540000</v>
      </c>
      <c r="H11" s="39">
        <f t="shared" si="3"/>
        <v>4.2183870967741934E-2</v>
      </c>
    </row>
    <row r="12" spans="1:8" x14ac:dyDescent="0.25">
      <c r="A12" s="40" t="s">
        <v>211</v>
      </c>
      <c r="B12" s="26">
        <f>+[1]EQUIPOS!AB7</f>
        <v>2173672000</v>
      </c>
      <c r="C12" s="26">
        <f>+[1]EQUIPOS!AB38</f>
        <v>1899353845.04</v>
      </c>
      <c r="D12" s="26">
        <f t="shared" si="0"/>
        <v>274318154.96000004</v>
      </c>
      <c r="E12" s="39">
        <f t="shared" si="1"/>
        <v>0.1262003443757844</v>
      </c>
      <c r="F12" s="26">
        <f>+[1]EQUIPOS!AB50</f>
        <v>1924853845.04</v>
      </c>
      <c r="G12" s="26">
        <f t="shared" si="2"/>
        <v>248818154.96000004</v>
      </c>
      <c r="H12" s="39">
        <f t="shared" si="3"/>
        <v>0.1144690436091554</v>
      </c>
    </row>
    <row r="13" spans="1:8" x14ac:dyDescent="0.25">
      <c r="A13" s="40" t="s">
        <v>218</v>
      </c>
      <c r="B13" s="26">
        <f>+'[1]PROYECTOS BTA'!AB7</f>
        <v>1489097505</v>
      </c>
      <c r="C13" s="26">
        <f>+'[1]PROYECTOS BTA'!AB38</f>
        <v>1184850000</v>
      </c>
      <c r="D13" s="26">
        <f t="shared" si="0"/>
        <v>304247505</v>
      </c>
      <c r="E13" s="39">
        <f t="shared" si="1"/>
        <v>0.20431671128211312</v>
      </c>
      <c r="F13" s="26">
        <f>+'[1]PROYECTOS BTA'!AB50</f>
        <v>1291950000</v>
      </c>
      <c r="G13" s="26">
        <f t="shared" si="2"/>
        <v>197147505</v>
      </c>
      <c r="H13" s="39">
        <f t="shared" si="3"/>
        <v>0.13239395293997219</v>
      </c>
    </row>
    <row r="14" spans="1:8" x14ac:dyDescent="0.25">
      <c r="A14" s="32" t="s">
        <v>80</v>
      </c>
      <c r="B14" s="27">
        <f>SUM(B6:B13)</f>
        <v>17084015797.326191</v>
      </c>
      <c r="C14" s="27">
        <f>SUM(C6:C13)</f>
        <v>13955004418.611462</v>
      </c>
      <c r="D14" s="27">
        <f>SUM(D6:D13)</f>
        <v>3129011378.7147312</v>
      </c>
      <c r="E14" s="91">
        <f t="shared" si="1"/>
        <v>0.1831543248282673</v>
      </c>
      <c r="F14" s="27">
        <f>SUM(F6:F13)</f>
        <v>15900604418.611462</v>
      </c>
      <c r="G14" s="27">
        <f>SUM(G6:G13)</f>
        <v>1183411378.7147312</v>
      </c>
      <c r="H14" s="91">
        <f t="shared" si="3"/>
        <v>6.927009391433285E-2</v>
      </c>
    </row>
    <row r="17" spans="1:15" ht="15.75" x14ac:dyDescent="0.25">
      <c r="A17" s="92" t="s">
        <v>182</v>
      </c>
    </row>
    <row r="18" spans="1:15" x14ac:dyDescent="0.25">
      <c r="A18" s="87"/>
    </row>
    <row r="19" spans="1:15" ht="18" x14ac:dyDescent="0.25">
      <c r="B19" s="222" t="s">
        <v>223</v>
      </c>
      <c r="C19" s="223"/>
      <c r="D19" s="223"/>
      <c r="E19" s="223"/>
      <c r="F19" s="224"/>
    </row>
    <row r="20" spans="1:15" ht="51" x14ac:dyDescent="0.25">
      <c r="A20" s="93" t="s">
        <v>72</v>
      </c>
      <c r="B20" s="94">
        <v>2022</v>
      </c>
      <c r="C20" s="94">
        <v>2021</v>
      </c>
      <c r="D20" s="94">
        <v>2020</v>
      </c>
      <c r="E20" s="94">
        <v>2019</v>
      </c>
      <c r="F20" s="94">
        <v>2018</v>
      </c>
      <c r="G20" s="94" t="s">
        <v>224</v>
      </c>
      <c r="H20" s="94" t="s">
        <v>219</v>
      </c>
      <c r="I20" s="94" t="s">
        <v>220</v>
      </c>
      <c r="J20" s="94" t="s">
        <v>221</v>
      </c>
      <c r="K20" s="94" t="s">
        <v>222</v>
      </c>
      <c r="L20" s="94" t="s">
        <v>225</v>
      </c>
      <c r="M20" s="94" t="s">
        <v>226</v>
      </c>
      <c r="N20" s="94" t="s">
        <v>288</v>
      </c>
      <c r="O20" s="94" t="s">
        <v>289</v>
      </c>
    </row>
    <row r="21" spans="1:15" x14ac:dyDescent="0.25">
      <c r="A21" s="25" t="s">
        <v>74</v>
      </c>
      <c r="B21" s="26">
        <f t="shared" ref="B21:B27" si="4">+B6</f>
        <v>2980446292.3261909</v>
      </c>
      <c r="C21" s="26">
        <v>2741889977.5545602</v>
      </c>
      <c r="D21" s="26">
        <v>3174347789.6016164</v>
      </c>
      <c r="E21" s="88">
        <v>2251000000</v>
      </c>
      <c r="F21" s="26">
        <v>1946705116</v>
      </c>
      <c r="G21" s="95">
        <f t="shared" ref="G21:G27" si="5">+(B21-D21)/D21</f>
        <v>-6.1083885612849075E-2</v>
      </c>
      <c r="H21" s="96">
        <f>+(D21-E21)/E21</f>
        <v>0.41019448671773273</v>
      </c>
      <c r="I21" s="97">
        <v>0.15631277767700694</v>
      </c>
      <c r="J21" s="26">
        <v>2309499500</v>
      </c>
      <c r="K21" s="98">
        <v>0.37447433506767003</v>
      </c>
      <c r="L21" s="26">
        <v>2198438233</v>
      </c>
      <c r="M21" s="97">
        <f>+(C21-L21)/L21</f>
        <v>0.24719900536526021</v>
      </c>
      <c r="N21" s="26">
        <v>1506445067.8499999</v>
      </c>
      <c r="O21" s="97">
        <f>+(B21-N21)/N21</f>
        <v>0.97846330804473824</v>
      </c>
    </row>
    <row r="22" spans="1:15" x14ac:dyDescent="0.25">
      <c r="A22" s="25" t="s">
        <v>75</v>
      </c>
      <c r="B22" s="26">
        <f t="shared" si="4"/>
        <v>2100000000</v>
      </c>
      <c r="C22" s="26">
        <v>2190000000</v>
      </c>
      <c r="D22" s="26">
        <v>2999200000</v>
      </c>
      <c r="E22" s="88">
        <v>3000000000</v>
      </c>
      <c r="F22" s="26">
        <v>2816528445</v>
      </c>
      <c r="G22" s="95">
        <f t="shared" si="5"/>
        <v>-0.29981328354227793</v>
      </c>
      <c r="H22" s="96">
        <f t="shared" ref="H22:H31" si="6">+(D22-E22)/E22</f>
        <v>-2.6666666666666668E-4</v>
      </c>
      <c r="I22" s="97">
        <v>5.9069722975938203E-2</v>
      </c>
      <c r="J22" s="26">
        <v>2593948463</v>
      </c>
      <c r="K22" s="98">
        <v>0.15622960239206571</v>
      </c>
      <c r="L22" s="26">
        <v>1604736016</v>
      </c>
      <c r="M22" s="97">
        <f t="shared" ref="M22:M30" si="7">+(C22-L22)/L22</f>
        <v>0.36471044344031223</v>
      </c>
      <c r="N22" s="26">
        <v>1738870523</v>
      </c>
      <c r="O22" s="97">
        <f t="shared" ref="O22:O30" si="8">+(B22-N22)/N22</f>
        <v>0.20768048697320979</v>
      </c>
    </row>
    <row r="23" spans="1:15" x14ac:dyDescent="0.25">
      <c r="A23" s="25" t="s">
        <v>79</v>
      </c>
      <c r="B23" s="26">
        <f t="shared" si="4"/>
        <v>1080000000</v>
      </c>
      <c r="C23" s="26">
        <v>2100000000</v>
      </c>
      <c r="D23" s="26">
        <v>1562120235</v>
      </c>
      <c r="E23" s="88">
        <v>1020000000</v>
      </c>
      <c r="F23" s="26">
        <v>749013554</v>
      </c>
      <c r="G23" s="95">
        <f t="shared" si="5"/>
        <v>-0.30863196327522124</v>
      </c>
      <c r="H23" s="96">
        <f t="shared" si="6"/>
        <v>0.5314904264705882</v>
      </c>
      <c r="I23" s="97">
        <v>0.36179111119262869</v>
      </c>
      <c r="J23" s="26">
        <v>1747311517.8328683</v>
      </c>
      <c r="K23" s="98">
        <v>-0.10598641452472932</v>
      </c>
      <c r="L23" s="26">
        <v>2078714939</v>
      </c>
      <c r="M23" s="97">
        <f t="shared" si="7"/>
        <v>1.0239528566740146E-2</v>
      </c>
      <c r="N23" s="26">
        <v>1358823564</v>
      </c>
      <c r="O23" s="97">
        <f t="shared" si="8"/>
        <v>-0.20519482542620965</v>
      </c>
    </row>
    <row r="24" spans="1:15" x14ac:dyDescent="0.25">
      <c r="A24" s="25" t="s">
        <v>76</v>
      </c>
      <c r="B24" s="26">
        <f t="shared" si="4"/>
        <v>1060800000</v>
      </c>
      <c r="C24" s="26">
        <v>1020000000</v>
      </c>
      <c r="D24" s="26">
        <v>942000000</v>
      </c>
      <c r="E24" s="88">
        <v>1106280000</v>
      </c>
      <c r="F24" s="26">
        <v>728078261</v>
      </c>
      <c r="G24" s="95">
        <f t="shared" si="5"/>
        <v>0.12611464968152866</v>
      </c>
      <c r="H24" s="96">
        <f t="shared" si="6"/>
        <v>-0.14849766785985466</v>
      </c>
      <c r="I24" s="97">
        <v>0.51945204143377111</v>
      </c>
      <c r="J24" s="26">
        <v>768962012</v>
      </c>
      <c r="K24" s="98">
        <v>0.22502800567474587</v>
      </c>
      <c r="L24" s="26">
        <v>687907336</v>
      </c>
      <c r="M24" s="97">
        <f t="shared" si="7"/>
        <v>0.48275784632713964</v>
      </c>
      <c r="N24" s="26">
        <v>1349930787.0000002</v>
      </c>
      <c r="O24" s="97">
        <f t="shared" si="8"/>
        <v>-0.21418193420312015</v>
      </c>
    </row>
    <row r="25" spans="1:15" x14ac:dyDescent="0.25">
      <c r="A25" s="40" t="s">
        <v>181</v>
      </c>
      <c r="B25" s="26">
        <f t="shared" si="4"/>
        <v>0</v>
      </c>
      <c r="C25" s="26">
        <v>1466280000</v>
      </c>
      <c r="D25" s="26">
        <v>644175000</v>
      </c>
      <c r="E25" s="88">
        <v>493100000</v>
      </c>
      <c r="F25" s="26">
        <v>121666628</v>
      </c>
      <c r="G25" s="95">
        <f t="shared" si="5"/>
        <v>-1</v>
      </c>
      <c r="H25" s="96">
        <f t="shared" si="6"/>
        <v>0.30637801662948694</v>
      </c>
      <c r="I25" s="97">
        <v>11.272058694681668</v>
      </c>
      <c r="J25" s="26">
        <v>191552633</v>
      </c>
      <c r="K25" s="98">
        <v>2.3629138368460851</v>
      </c>
      <c r="L25" s="26">
        <v>346301026</v>
      </c>
      <c r="M25" s="97">
        <f t="shared" si="7"/>
        <v>3.234119710635798</v>
      </c>
      <c r="N25" s="26">
        <v>1764935498</v>
      </c>
      <c r="O25" s="97">
        <f t="shared" si="8"/>
        <v>-1</v>
      </c>
    </row>
    <row r="26" spans="1:15" x14ac:dyDescent="0.25">
      <c r="A26" s="25" t="s">
        <v>77</v>
      </c>
      <c r="B26" s="26">
        <f t="shared" si="4"/>
        <v>6200000000</v>
      </c>
      <c r="C26" s="26">
        <v>4714000000</v>
      </c>
      <c r="D26" s="26">
        <v>4478000000</v>
      </c>
      <c r="E26" s="88">
        <v>4400000000</v>
      </c>
      <c r="F26" s="26">
        <v>3623646725.8800001</v>
      </c>
      <c r="G26" s="95">
        <f t="shared" si="5"/>
        <v>0.38454667262170611</v>
      </c>
      <c r="H26" s="96">
        <f t="shared" si="6"/>
        <v>1.7727272727272727E-2</v>
      </c>
      <c r="I26" s="97">
        <v>0.2142464022707575</v>
      </c>
      <c r="J26" s="26">
        <v>4315798436.4879999</v>
      </c>
      <c r="K26" s="98">
        <v>3.7583211055609987E-2</v>
      </c>
      <c r="L26" s="26">
        <v>3635463506</v>
      </c>
      <c r="M26" s="97">
        <f t="shared" si="7"/>
        <v>0.29667097255136082</v>
      </c>
      <c r="N26" s="26">
        <v>5056093693</v>
      </c>
      <c r="O26" s="97">
        <f t="shared" si="8"/>
        <v>0.22624309920991015</v>
      </c>
    </row>
    <row r="27" spans="1:15" x14ac:dyDescent="0.25">
      <c r="A27" s="40" t="s">
        <v>211</v>
      </c>
      <c r="B27" s="26">
        <f t="shared" si="4"/>
        <v>2173672000</v>
      </c>
      <c r="C27" s="26">
        <v>1100000000</v>
      </c>
      <c r="D27" s="26">
        <v>1890000000</v>
      </c>
      <c r="E27" s="88">
        <v>1367000000</v>
      </c>
      <c r="F27" s="26">
        <v>1367870684</v>
      </c>
      <c r="G27" s="95">
        <f t="shared" si="5"/>
        <v>0.1500910052910053</v>
      </c>
      <c r="H27" s="96">
        <f t="shared" si="6"/>
        <v>0.38258961228968547</v>
      </c>
      <c r="I27" s="97">
        <v>-6.3652508251284376E-4</v>
      </c>
      <c r="J27" s="26">
        <v>904965056</v>
      </c>
      <c r="K27" s="98">
        <v>1.0884784307074946</v>
      </c>
      <c r="L27" s="26">
        <v>635835055</v>
      </c>
      <c r="M27" s="97">
        <f t="shared" si="7"/>
        <v>0.73000842175963387</v>
      </c>
      <c r="N27" s="26">
        <v>1042362267</v>
      </c>
      <c r="O27" s="97">
        <f t="shared" si="8"/>
        <v>1.0853325842808927</v>
      </c>
    </row>
    <row r="28" spans="1:15" x14ac:dyDescent="0.25">
      <c r="A28" s="25" t="s">
        <v>78</v>
      </c>
      <c r="B28" s="25"/>
      <c r="C28" s="25"/>
      <c r="D28" s="25"/>
      <c r="E28" s="88">
        <v>102000000</v>
      </c>
      <c r="F28" s="26">
        <v>339793602</v>
      </c>
      <c r="G28" s="95"/>
      <c r="H28" s="96">
        <f t="shared" si="6"/>
        <v>-1</v>
      </c>
      <c r="I28" s="97">
        <v>-0.6998177734965122</v>
      </c>
      <c r="J28" s="26">
        <v>57204994</v>
      </c>
      <c r="K28" s="98">
        <v>-1</v>
      </c>
      <c r="L28" s="26"/>
      <c r="M28" s="97"/>
      <c r="N28" s="26"/>
      <c r="O28" s="97"/>
    </row>
    <row r="29" spans="1:15" x14ac:dyDescent="0.25">
      <c r="A29" s="40" t="s">
        <v>183</v>
      </c>
      <c r="B29" s="25"/>
      <c r="C29" s="25"/>
      <c r="D29" s="25"/>
      <c r="E29" s="88"/>
      <c r="F29" s="89">
        <v>256061471</v>
      </c>
      <c r="G29" s="95"/>
      <c r="H29" s="96"/>
      <c r="I29" s="97">
        <v>0</v>
      </c>
      <c r="J29" s="26">
        <v>24691500</v>
      </c>
      <c r="K29" s="98">
        <v>-1</v>
      </c>
      <c r="L29" s="26">
        <v>48622756</v>
      </c>
      <c r="M29" s="97">
        <f t="shared" si="7"/>
        <v>-1</v>
      </c>
      <c r="N29" s="26">
        <v>39015000</v>
      </c>
      <c r="O29" s="97">
        <f t="shared" si="8"/>
        <v>-1</v>
      </c>
    </row>
    <row r="30" spans="1:15" x14ac:dyDescent="0.25">
      <c r="A30" s="90" t="s">
        <v>218</v>
      </c>
      <c r="B30" s="26">
        <f>+B13</f>
        <v>1489097505</v>
      </c>
      <c r="C30" s="26">
        <v>1200000000</v>
      </c>
      <c r="D30" s="26">
        <v>2545000000</v>
      </c>
      <c r="E30" s="25"/>
      <c r="F30" s="25"/>
      <c r="G30" s="95">
        <f>+(B30-D30)/D30</f>
        <v>-0.41489292534381139</v>
      </c>
      <c r="H30" s="96"/>
      <c r="I30" s="25"/>
      <c r="J30" s="26">
        <v>749316941</v>
      </c>
      <c r="K30" s="98">
        <v>2.3964266130211516</v>
      </c>
      <c r="L30" s="26">
        <v>969704419</v>
      </c>
      <c r="M30" s="97">
        <f t="shared" si="7"/>
        <v>0.23749049348201434</v>
      </c>
      <c r="N30" s="26">
        <v>1148118589</v>
      </c>
      <c r="O30" s="97">
        <f t="shared" si="8"/>
        <v>0.29698928252436824</v>
      </c>
    </row>
    <row r="31" spans="1:15" ht="20.25" customHeight="1" x14ac:dyDescent="0.25">
      <c r="A31" s="32" t="s">
        <v>80</v>
      </c>
      <c r="B31" s="27">
        <f>SUM(B21:B30)</f>
        <v>17084015797.326191</v>
      </c>
      <c r="C31" s="27">
        <v>16532169977.55456</v>
      </c>
      <c r="D31" s="27">
        <v>18234843024.601616</v>
      </c>
      <c r="E31" s="27">
        <v>13739380000</v>
      </c>
      <c r="F31" s="27">
        <v>11949364486.880001</v>
      </c>
      <c r="G31" s="99">
        <f>+(B31-D31)/D31</f>
        <v>-6.3111441415908076E-2</v>
      </c>
      <c r="H31" s="100">
        <f t="shared" si="6"/>
        <v>0.32719547931577814</v>
      </c>
      <c r="I31" s="101">
        <v>0.23205548011901106</v>
      </c>
      <c r="J31" s="27">
        <v>13663251053.320869</v>
      </c>
      <c r="K31" s="102">
        <v>0.3345903514061257</v>
      </c>
      <c r="L31" s="27">
        <f>SUM(L21:L30)</f>
        <v>12205723286</v>
      </c>
      <c r="M31" s="103">
        <f>+(C31-L31)/L31</f>
        <v>0.35446049285067821</v>
      </c>
      <c r="N31" s="27">
        <f>SUM(N21:N30)</f>
        <v>15004594988.85</v>
      </c>
      <c r="O31" s="103">
        <f>+(B31-N31)/N31</f>
        <v>0.13858560061244038</v>
      </c>
    </row>
  </sheetData>
  <mergeCells count="3">
    <mergeCell ref="C4:E4"/>
    <mergeCell ref="F4:H4"/>
    <mergeCell ref="B19:F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0000"/>
  </sheetPr>
  <dimension ref="A1:R50"/>
  <sheetViews>
    <sheetView topLeftCell="F1" zoomScale="60" zoomScaleNormal="60" workbookViewId="0">
      <pane ySplit="6" topLeftCell="A16" activePane="bottomLeft" state="frozen"/>
      <selection pane="bottomLeft" activeCell="N18" sqref="N18"/>
    </sheetView>
  </sheetViews>
  <sheetFormatPr baseColWidth="10" defaultRowHeight="15" x14ac:dyDescent="0.25"/>
  <cols>
    <col min="1" max="1" width="23.28515625" customWidth="1"/>
    <col min="2" max="2" width="22.42578125" customWidth="1"/>
    <col min="3" max="3" width="37.28515625" customWidth="1"/>
    <col min="4" max="4" width="25.85546875" customWidth="1"/>
    <col min="5" max="5" width="29" customWidth="1"/>
    <col min="6" max="6" width="23.42578125" customWidth="1"/>
    <col min="7" max="8" width="27.42578125" customWidth="1"/>
    <col min="9" max="9" width="39.42578125" customWidth="1"/>
    <col min="10" max="10" width="39.140625" customWidth="1"/>
    <col min="11" max="11" width="23.85546875" customWidth="1"/>
    <col min="12" max="12" width="24.28515625" customWidth="1"/>
    <col min="13" max="13" width="21.85546875" customWidth="1"/>
    <col min="14" max="14" width="18.42578125" customWidth="1"/>
    <col min="15" max="15" width="48.28515625" style="2" customWidth="1"/>
    <col min="16" max="16" width="25" customWidth="1"/>
    <col min="18" max="18" width="14" customWidth="1"/>
  </cols>
  <sheetData>
    <row r="1" spans="1:18" ht="23.25" customHeight="1" x14ac:dyDescent="0.25">
      <c r="A1" s="232"/>
      <c r="B1" s="55"/>
      <c r="C1" s="56"/>
      <c r="D1" s="61"/>
      <c r="E1" s="62"/>
      <c r="F1" s="62"/>
      <c r="G1" s="62"/>
      <c r="H1" s="62"/>
      <c r="I1" s="62"/>
      <c r="J1" s="62"/>
      <c r="K1" s="63"/>
      <c r="L1" s="211"/>
      <c r="M1" s="212"/>
      <c r="N1" s="69"/>
      <c r="O1" s="207" t="s">
        <v>196</v>
      </c>
    </row>
    <row r="2" spans="1:18" ht="23.25" x14ac:dyDescent="0.25">
      <c r="A2" s="233"/>
      <c r="B2" s="57"/>
      <c r="C2" s="58"/>
      <c r="D2" s="238" t="s">
        <v>285</v>
      </c>
      <c r="E2" s="239"/>
      <c r="F2" s="239"/>
      <c r="G2" s="239"/>
      <c r="H2" s="239"/>
      <c r="I2" s="239"/>
      <c r="J2" s="239"/>
      <c r="K2" s="239"/>
      <c r="L2" s="239"/>
      <c r="M2" s="240"/>
      <c r="N2" s="69"/>
      <c r="O2" s="207" t="s">
        <v>197</v>
      </c>
    </row>
    <row r="3" spans="1:18" ht="23.25" x14ac:dyDescent="0.25">
      <c r="A3" s="233"/>
      <c r="B3" s="57"/>
      <c r="C3" s="58"/>
      <c r="D3" s="64"/>
      <c r="E3" s="58"/>
      <c r="F3" s="58"/>
      <c r="G3" s="58"/>
      <c r="H3" s="58"/>
      <c r="I3" s="58"/>
      <c r="J3" s="58"/>
      <c r="K3" s="65"/>
      <c r="L3" s="211"/>
      <c r="M3" s="212"/>
      <c r="N3" s="69"/>
      <c r="O3" s="207" t="s">
        <v>174</v>
      </c>
    </row>
    <row r="4" spans="1:18" ht="24" thickBot="1" x14ac:dyDescent="0.3">
      <c r="A4" s="234"/>
      <c r="B4" s="59"/>
      <c r="C4" s="60"/>
      <c r="D4" s="66"/>
      <c r="E4" s="67"/>
      <c r="F4" s="67"/>
      <c r="G4" s="67"/>
      <c r="H4" s="67"/>
      <c r="I4" s="67"/>
      <c r="J4" s="67"/>
      <c r="K4" s="68"/>
      <c r="L4" s="29"/>
      <c r="M4" s="29"/>
    </row>
    <row r="5" spans="1:18" ht="15.75" customHeight="1" x14ac:dyDescent="0.25">
      <c r="A5" s="235" t="s">
        <v>1</v>
      </c>
      <c r="B5" s="235" t="s">
        <v>2</v>
      </c>
      <c r="C5" s="235" t="s">
        <v>3</v>
      </c>
      <c r="D5" s="237" t="s">
        <v>173</v>
      </c>
      <c r="E5" s="237" t="s">
        <v>65</v>
      </c>
      <c r="F5" s="237" t="s">
        <v>66</v>
      </c>
      <c r="G5" s="237" t="s">
        <v>69</v>
      </c>
      <c r="H5" s="230" t="s">
        <v>349</v>
      </c>
      <c r="I5" s="227" t="s">
        <v>229</v>
      </c>
      <c r="J5" s="227" t="s">
        <v>230</v>
      </c>
      <c r="K5" s="227" t="s">
        <v>228</v>
      </c>
      <c r="L5" s="227" t="s">
        <v>179</v>
      </c>
      <c r="M5" s="227" t="s">
        <v>88</v>
      </c>
      <c r="N5" s="237" t="s">
        <v>382</v>
      </c>
      <c r="O5" s="227" t="s">
        <v>208</v>
      </c>
    </row>
    <row r="6" spans="1:18" ht="31.5" customHeight="1" thickBot="1" x14ac:dyDescent="0.3">
      <c r="A6" s="236"/>
      <c r="B6" s="236"/>
      <c r="C6" s="236"/>
      <c r="D6" s="237"/>
      <c r="E6" s="228"/>
      <c r="F6" s="228"/>
      <c r="G6" s="228"/>
      <c r="H6" s="231"/>
      <c r="I6" s="228"/>
      <c r="J6" s="228"/>
      <c r="K6" s="228"/>
      <c r="L6" s="228"/>
      <c r="M6" s="228"/>
      <c r="N6" s="241"/>
      <c r="O6" s="228"/>
    </row>
    <row r="7" spans="1:18" ht="51.75" customHeight="1" thickBot="1" x14ac:dyDescent="0.3">
      <c r="A7" s="72" t="s">
        <v>71</v>
      </c>
      <c r="B7" s="73" t="s">
        <v>90</v>
      </c>
      <c r="C7" s="74" t="s">
        <v>178</v>
      </c>
      <c r="D7" s="75" t="s">
        <v>373</v>
      </c>
      <c r="E7" s="149">
        <f>E35</f>
        <v>17084015797</v>
      </c>
      <c r="F7" s="76" t="s">
        <v>67</v>
      </c>
      <c r="G7" s="76" t="s">
        <v>70</v>
      </c>
      <c r="H7" s="78" t="s">
        <v>350</v>
      </c>
      <c r="I7" s="78" t="s">
        <v>351</v>
      </c>
      <c r="J7" s="183" t="s">
        <v>297</v>
      </c>
      <c r="K7" s="145" t="s">
        <v>236</v>
      </c>
      <c r="L7" s="165">
        <v>24536190522</v>
      </c>
      <c r="M7" s="186">
        <f t="shared" ref="M7:M15" si="0">(1+(L7-E7)/E7)</f>
        <v>1.4362074358599353</v>
      </c>
      <c r="N7" s="187">
        <v>1</v>
      </c>
      <c r="P7" s="8"/>
      <c r="R7" s="14">
        <f>-4.15/10.37</f>
        <v>-0.4001928640308583</v>
      </c>
    </row>
    <row r="8" spans="1:18" ht="51.75" customHeight="1" thickBot="1" x14ac:dyDescent="0.3">
      <c r="A8" s="72" t="s">
        <v>71</v>
      </c>
      <c r="B8" s="73" t="s">
        <v>292</v>
      </c>
      <c r="C8" s="74" t="s">
        <v>177</v>
      </c>
      <c r="D8" s="75" t="s">
        <v>68</v>
      </c>
      <c r="E8" s="184">
        <v>0.1832</v>
      </c>
      <c r="F8" s="76" t="s">
        <v>67</v>
      </c>
      <c r="G8" s="76" t="s">
        <v>70</v>
      </c>
      <c r="H8" s="78" t="s">
        <v>352</v>
      </c>
      <c r="I8" s="78" t="s">
        <v>231</v>
      </c>
      <c r="J8" s="183" t="s">
        <v>297</v>
      </c>
      <c r="K8" s="73" t="s">
        <v>237</v>
      </c>
      <c r="L8" s="176">
        <v>0.39900000000000002</v>
      </c>
      <c r="M8" s="186">
        <f t="shared" si="0"/>
        <v>2.177947598253275</v>
      </c>
      <c r="N8" s="187">
        <v>1</v>
      </c>
      <c r="O8" s="2" t="s">
        <v>374</v>
      </c>
      <c r="P8" s="8"/>
      <c r="R8" s="14">
        <f>-4.15/10.37</f>
        <v>-0.4001928640308583</v>
      </c>
    </row>
    <row r="9" spans="1:18" ht="136.5" customHeight="1" thickBot="1" x14ac:dyDescent="0.3">
      <c r="A9" s="74" t="s">
        <v>167</v>
      </c>
      <c r="B9" s="73" t="s">
        <v>293</v>
      </c>
      <c r="C9" s="74" t="s">
        <v>176</v>
      </c>
      <c r="D9" s="75" t="s">
        <v>166</v>
      </c>
      <c r="E9" s="77">
        <v>3</v>
      </c>
      <c r="F9" s="76" t="s">
        <v>67</v>
      </c>
      <c r="G9" s="78" t="s">
        <v>84</v>
      </c>
      <c r="H9" s="78" t="s">
        <v>353</v>
      </c>
      <c r="I9" s="78" t="s">
        <v>232</v>
      </c>
      <c r="J9" s="78" t="s">
        <v>238</v>
      </c>
      <c r="K9" s="152" t="s">
        <v>342</v>
      </c>
      <c r="L9" s="177">
        <v>3</v>
      </c>
      <c r="M9" s="186">
        <f t="shared" si="0"/>
        <v>1</v>
      </c>
      <c r="N9" s="187">
        <v>1</v>
      </c>
    </row>
    <row r="10" spans="1:18" ht="140.25" customHeight="1" thickBot="1" x14ac:dyDescent="0.3">
      <c r="A10" s="74" t="s">
        <v>204</v>
      </c>
      <c r="B10" s="73" t="s">
        <v>376</v>
      </c>
      <c r="C10" s="74" t="s">
        <v>199</v>
      </c>
      <c r="D10" s="75" t="s">
        <v>379</v>
      </c>
      <c r="E10" s="185">
        <v>0.9</v>
      </c>
      <c r="F10" s="76" t="s">
        <v>200</v>
      </c>
      <c r="G10" s="78" t="s">
        <v>239</v>
      </c>
      <c r="H10" s="78" t="s">
        <v>354</v>
      </c>
      <c r="I10" s="78" t="s">
        <v>240</v>
      </c>
      <c r="J10" s="78" t="s">
        <v>375</v>
      </c>
      <c r="K10" s="152" t="s">
        <v>343</v>
      </c>
      <c r="L10" s="185">
        <v>0.84</v>
      </c>
      <c r="M10" s="186">
        <f t="shared" si="0"/>
        <v>0.93333333333333324</v>
      </c>
      <c r="N10" s="188">
        <v>0</v>
      </c>
    </row>
    <row r="11" spans="1:18" ht="93.75" customHeight="1" thickBot="1" x14ac:dyDescent="0.3">
      <c r="A11" s="74" t="s">
        <v>205</v>
      </c>
      <c r="B11" s="73" t="s">
        <v>201</v>
      </c>
      <c r="C11" s="74" t="s">
        <v>206</v>
      </c>
      <c r="D11" s="75" t="s">
        <v>202</v>
      </c>
      <c r="E11" s="77">
        <v>4</v>
      </c>
      <c r="F11" s="76" t="s">
        <v>200</v>
      </c>
      <c r="G11" s="78" t="s">
        <v>203</v>
      </c>
      <c r="H11" s="78" t="s">
        <v>355</v>
      </c>
      <c r="I11" s="78" t="s">
        <v>233</v>
      </c>
      <c r="J11" s="162" t="s">
        <v>377</v>
      </c>
      <c r="K11" s="73" t="s">
        <v>290</v>
      </c>
      <c r="L11" s="79">
        <v>4</v>
      </c>
      <c r="M11" s="186">
        <f t="shared" si="0"/>
        <v>1</v>
      </c>
      <c r="N11" s="187">
        <v>1</v>
      </c>
      <c r="O11" s="2" t="s">
        <v>380</v>
      </c>
    </row>
    <row r="12" spans="1:18" ht="105" customHeight="1" thickBot="1" x14ac:dyDescent="0.3">
      <c r="A12" s="74" t="s">
        <v>207</v>
      </c>
      <c r="B12" s="141" t="s">
        <v>175</v>
      </c>
      <c r="C12" s="74" t="s">
        <v>356</v>
      </c>
      <c r="D12" s="142" t="s">
        <v>213</v>
      </c>
      <c r="E12" s="147">
        <v>0.17</v>
      </c>
      <c r="F12" s="143" t="s">
        <v>67</v>
      </c>
      <c r="G12" s="144" t="s">
        <v>81</v>
      </c>
      <c r="H12" s="144" t="s">
        <v>357</v>
      </c>
      <c r="I12" s="144" t="s">
        <v>235</v>
      </c>
      <c r="J12" s="78" t="s">
        <v>241</v>
      </c>
      <c r="K12" s="80" t="s">
        <v>365</v>
      </c>
      <c r="L12" s="153">
        <v>0.28999999999999998</v>
      </c>
      <c r="M12" s="186">
        <f t="shared" si="0"/>
        <v>1.7058823529411762</v>
      </c>
      <c r="N12" s="187">
        <v>1</v>
      </c>
      <c r="O12" s="2" t="s">
        <v>366</v>
      </c>
    </row>
    <row r="13" spans="1:18" ht="105" customHeight="1" thickBot="1" x14ac:dyDescent="0.3">
      <c r="A13" s="163" t="s">
        <v>71</v>
      </c>
      <c r="B13" s="73" t="s">
        <v>48</v>
      </c>
      <c r="C13" s="169" t="s">
        <v>381</v>
      </c>
      <c r="D13" s="75" t="s">
        <v>165</v>
      </c>
      <c r="E13" s="77">
        <v>2</v>
      </c>
      <c r="F13" s="76" t="s">
        <v>184</v>
      </c>
      <c r="G13" s="78" t="s">
        <v>83</v>
      </c>
      <c r="H13" s="78" t="s">
        <v>358</v>
      </c>
      <c r="I13" s="78" t="s">
        <v>234</v>
      </c>
      <c r="J13" s="78" t="s">
        <v>242</v>
      </c>
      <c r="K13" s="81" t="s">
        <v>243</v>
      </c>
      <c r="L13" s="82">
        <v>2</v>
      </c>
      <c r="M13" s="186">
        <f t="shared" si="0"/>
        <v>1</v>
      </c>
      <c r="N13" s="187">
        <v>1</v>
      </c>
      <c r="O13" s="2" t="s">
        <v>344</v>
      </c>
    </row>
    <row r="14" spans="1:18" ht="105" customHeight="1" thickBot="1" x14ac:dyDescent="0.3">
      <c r="A14" s="163" t="s">
        <v>71</v>
      </c>
      <c r="B14" s="73" t="s">
        <v>378</v>
      </c>
      <c r="C14" s="74" t="s">
        <v>294</v>
      </c>
      <c r="D14" s="75" t="s">
        <v>295</v>
      </c>
      <c r="E14" s="77">
        <v>6</v>
      </c>
      <c r="F14" s="76" t="s">
        <v>184</v>
      </c>
      <c r="G14" s="78" t="s">
        <v>203</v>
      </c>
      <c r="H14" s="78" t="s">
        <v>359</v>
      </c>
      <c r="I14" s="78" t="s">
        <v>296</v>
      </c>
      <c r="J14" s="78" t="s">
        <v>297</v>
      </c>
      <c r="K14" s="81" t="s">
        <v>362</v>
      </c>
      <c r="L14" s="166">
        <v>7</v>
      </c>
      <c r="M14" s="186">
        <f t="shared" si="0"/>
        <v>1.1666666666666667</v>
      </c>
      <c r="N14" s="187">
        <v>1</v>
      </c>
      <c r="O14" s="2" t="s">
        <v>345</v>
      </c>
    </row>
    <row r="15" spans="1:18" ht="105" customHeight="1" thickBot="1" x14ac:dyDescent="0.3">
      <c r="A15" s="74" t="s">
        <v>205</v>
      </c>
      <c r="B15" s="73" t="s">
        <v>201</v>
      </c>
      <c r="C15" s="74" t="s">
        <v>367</v>
      </c>
      <c r="D15" s="75" t="s">
        <v>298</v>
      </c>
      <c r="E15" s="77">
        <v>10</v>
      </c>
      <c r="F15" s="76" t="s">
        <v>299</v>
      </c>
      <c r="G15" s="78" t="s">
        <v>300</v>
      </c>
      <c r="H15" s="78" t="s">
        <v>389</v>
      </c>
      <c r="I15" s="78" t="s">
        <v>301</v>
      </c>
      <c r="J15" s="78" t="s">
        <v>297</v>
      </c>
      <c r="K15" s="81" t="s">
        <v>361</v>
      </c>
      <c r="L15" s="166">
        <v>28</v>
      </c>
      <c r="M15" s="186">
        <f t="shared" si="0"/>
        <v>2.8</v>
      </c>
      <c r="N15" s="187">
        <v>1</v>
      </c>
    </row>
    <row r="16" spans="1:18" ht="79.5" customHeight="1" thickBot="1" x14ac:dyDescent="0.3">
      <c r="A16" s="74" t="s">
        <v>71</v>
      </c>
      <c r="B16" s="73" t="s">
        <v>304</v>
      </c>
      <c r="C16" s="74" t="s">
        <v>303</v>
      </c>
      <c r="D16" s="74" t="s">
        <v>302</v>
      </c>
      <c r="E16" s="77">
        <v>2</v>
      </c>
      <c r="F16" s="76" t="s">
        <v>184</v>
      </c>
      <c r="G16" s="78" t="s">
        <v>300</v>
      </c>
      <c r="H16" s="78" t="s">
        <v>360</v>
      </c>
      <c r="I16" s="78" t="s">
        <v>305</v>
      </c>
      <c r="J16" s="78" t="s">
        <v>297</v>
      </c>
      <c r="K16" s="81" t="s">
        <v>363</v>
      </c>
      <c r="L16" s="82" t="s">
        <v>364</v>
      </c>
      <c r="M16" s="186">
        <f>(1+(10-E16)/E16)</f>
        <v>5</v>
      </c>
      <c r="N16" s="190">
        <v>1</v>
      </c>
      <c r="O16" s="2">
        <f>(10-2)/2</f>
        <v>4</v>
      </c>
    </row>
    <row r="17" spans="1:15" ht="54" customHeight="1" thickBot="1" x14ac:dyDescent="0.3">
      <c r="A17" s="2"/>
      <c r="B17" s="4"/>
      <c r="C17" s="9"/>
      <c r="D17" s="5"/>
      <c r="E17" s="3"/>
      <c r="F17" s="10"/>
      <c r="G17" s="11"/>
      <c r="H17" s="11"/>
      <c r="I17" s="11"/>
      <c r="J17" s="164"/>
      <c r="K17" s="11"/>
      <c r="L17" s="191" t="s">
        <v>85</v>
      </c>
      <c r="M17" s="192">
        <f>SUM(M7:M16)/10</f>
        <v>1.8220037387054386</v>
      </c>
      <c r="N17" s="193">
        <f>SUM(N7:N16)/10</f>
        <v>0.9</v>
      </c>
      <c r="O17" s="189"/>
    </row>
    <row r="18" spans="1:15" ht="29.25" customHeight="1" x14ac:dyDescent="0.25">
      <c r="A18" s="41"/>
      <c r="B18" s="85"/>
      <c r="C18" s="41"/>
      <c r="D18" s="42"/>
      <c r="E18" s="19"/>
      <c r="F18" s="43"/>
      <c r="G18" s="44"/>
      <c r="H18" s="44"/>
      <c r="I18" s="44"/>
      <c r="J18" s="44"/>
      <c r="K18" s="44"/>
      <c r="L18" s="86"/>
      <c r="M18" s="70"/>
      <c r="N18" s="70"/>
    </row>
    <row r="19" spans="1:15" ht="29.25" customHeight="1" x14ac:dyDescent="0.25">
      <c r="A19" s="41"/>
      <c r="B19" s="85"/>
      <c r="C19" s="41"/>
      <c r="D19" s="42"/>
      <c r="E19" s="19"/>
      <c r="F19" s="43"/>
      <c r="G19" s="44"/>
      <c r="H19" s="44"/>
      <c r="I19" s="44"/>
      <c r="J19" s="44"/>
      <c r="K19" s="44"/>
      <c r="L19" s="86"/>
      <c r="M19" s="70"/>
      <c r="N19" s="70"/>
    </row>
    <row r="20" spans="1:15" ht="29.25" customHeight="1" x14ac:dyDescent="0.25">
      <c r="A20" s="41"/>
      <c r="B20" s="85"/>
      <c r="C20" s="41"/>
      <c r="D20" s="42"/>
      <c r="E20" s="19"/>
      <c r="F20" s="43"/>
      <c r="G20" s="44"/>
      <c r="H20" s="44"/>
      <c r="I20" s="44"/>
      <c r="J20" s="44"/>
      <c r="K20" s="44"/>
      <c r="L20" s="86"/>
      <c r="M20" s="70"/>
      <c r="N20" s="70"/>
    </row>
    <row r="21" spans="1:15" ht="29.25" customHeight="1" x14ac:dyDescent="0.25">
      <c r="A21" s="41"/>
      <c r="B21" s="85"/>
      <c r="C21" s="41"/>
      <c r="D21" s="42"/>
      <c r="E21" s="19"/>
      <c r="F21" s="43"/>
      <c r="G21" s="44"/>
      <c r="H21" s="44"/>
      <c r="I21" s="44"/>
      <c r="J21" s="44"/>
      <c r="K21" s="44"/>
      <c r="L21" s="86"/>
      <c r="M21" s="70"/>
      <c r="N21" s="70"/>
    </row>
    <row r="22" spans="1:15" ht="29.25" customHeight="1" x14ac:dyDescent="0.25">
      <c r="A22" s="41"/>
      <c r="B22" s="85"/>
      <c r="C22" s="41"/>
      <c r="D22" s="42"/>
      <c r="E22" s="19"/>
      <c r="F22" s="43"/>
      <c r="G22" s="44"/>
      <c r="H22" s="44"/>
      <c r="I22" s="44"/>
      <c r="J22" s="44"/>
      <c r="K22" s="44"/>
      <c r="L22" s="86"/>
      <c r="M22" s="70"/>
      <c r="N22" s="70"/>
    </row>
    <row r="23" spans="1:15" ht="29.25" customHeight="1" x14ac:dyDescent="0.25">
      <c r="A23" s="41"/>
      <c r="B23" s="85"/>
      <c r="C23" s="41"/>
      <c r="D23" s="42"/>
      <c r="E23" s="19"/>
      <c r="F23" s="43"/>
      <c r="G23" s="44"/>
      <c r="H23" s="44"/>
      <c r="I23" s="44"/>
      <c r="J23" s="44"/>
      <c r="K23" s="44"/>
      <c r="L23" s="86"/>
      <c r="M23" s="70"/>
      <c r="N23" s="70"/>
    </row>
    <row r="24" spans="1:15" ht="29.25" customHeight="1" x14ac:dyDescent="0.25">
      <c r="A24" s="41"/>
      <c r="B24" s="85"/>
      <c r="C24" s="41"/>
      <c r="D24" s="42"/>
      <c r="E24" s="19"/>
      <c r="F24" s="43"/>
      <c r="G24" s="44"/>
      <c r="H24" s="44"/>
      <c r="I24" s="44"/>
      <c r="J24" s="44"/>
      <c r="K24" s="44"/>
      <c r="L24" s="86"/>
      <c r="M24" s="70"/>
      <c r="N24" s="70"/>
    </row>
    <row r="25" spans="1:15" ht="29.25" customHeight="1" x14ac:dyDescent="0.25">
      <c r="A25" s="41"/>
      <c r="B25" s="85"/>
      <c r="C25" s="41"/>
      <c r="D25" s="42"/>
      <c r="E25" s="19"/>
      <c r="F25" s="43"/>
      <c r="G25" s="44"/>
      <c r="H25" s="44"/>
      <c r="I25" s="44"/>
      <c r="J25" s="44"/>
      <c r="K25" s="44"/>
      <c r="L25" s="86"/>
      <c r="M25" s="70"/>
      <c r="N25" s="70"/>
    </row>
    <row r="26" spans="1:15" ht="29.25" customHeight="1" x14ac:dyDescent="0.25">
      <c r="A26" s="41"/>
      <c r="B26" s="85"/>
      <c r="C26" s="41"/>
      <c r="D26" s="42"/>
      <c r="E26" s="19"/>
      <c r="F26" s="43"/>
      <c r="G26" s="44"/>
      <c r="H26" s="44"/>
      <c r="I26" s="44"/>
      <c r="J26" s="44"/>
      <c r="K26" s="44"/>
      <c r="L26" s="86"/>
      <c r="M26" s="70"/>
      <c r="N26" s="70"/>
    </row>
    <row r="27" spans="1:15" ht="29.25" customHeight="1" x14ac:dyDescent="0.25">
      <c r="A27" s="41"/>
      <c r="B27" s="85"/>
      <c r="C27" s="41"/>
      <c r="D27" s="42"/>
      <c r="E27" s="19"/>
      <c r="F27" s="43"/>
      <c r="G27" s="44"/>
      <c r="H27" s="44"/>
      <c r="I27" s="44"/>
      <c r="J27" s="44"/>
      <c r="K27" s="44"/>
      <c r="L27" s="86"/>
      <c r="M27" s="70"/>
      <c r="N27" s="70"/>
    </row>
    <row r="28" spans="1:15" ht="29.25" customHeight="1" x14ac:dyDescent="0.25">
      <c r="A28" s="41"/>
      <c r="B28" s="85"/>
      <c r="C28" s="41"/>
      <c r="D28" s="42"/>
      <c r="E28" s="19"/>
      <c r="F28" s="43"/>
      <c r="G28" s="44"/>
      <c r="H28" s="44"/>
      <c r="I28" s="44"/>
      <c r="J28" s="44"/>
      <c r="K28" s="44"/>
      <c r="L28" s="86"/>
      <c r="M28" s="70"/>
      <c r="N28" s="70"/>
    </row>
    <row r="29" spans="1:15" x14ac:dyDescent="0.25">
      <c r="C29" s="41"/>
      <c r="D29" s="42"/>
      <c r="E29" s="19"/>
      <c r="F29" s="43"/>
      <c r="G29" s="44"/>
      <c r="H29" s="44"/>
      <c r="I29" s="44"/>
      <c r="J29" s="44"/>
      <c r="N29" s="25"/>
    </row>
    <row r="30" spans="1:15" ht="45.75" customHeight="1" x14ac:dyDescent="0.25">
      <c r="C30" s="41"/>
      <c r="D30" s="42"/>
      <c r="E30" s="19"/>
      <c r="F30" s="43"/>
      <c r="G30" s="44"/>
      <c r="H30" s="44"/>
      <c r="I30" s="44"/>
      <c r="J30" s="44"/>
    </row>
    <row r="31" spans="1:15" x14ac:dyDescent="0.25">
      <c r="C31" s="211" t="s">
        <v>172</v>
      </c>
      <c r="D31" s="229"/>
      <c r="E31" s="212"/>
      <c r="F31" s="43"/>
      <c r="G31" s="44"/>
      <c r="H31" s="44"/>
      <c r="I31" s="44"/>
      <c r="J31" s="44"/>
      <c r="K31" s="28"/>
    </row>
    <row r="32" spans="1:15" ht="18.75" x14ac:dyDescent="0.3">
      <c r="C32" s="25" t="s">
        <v>128</v>
      </c>
      <c r="D32" s="30">
        <v>0.7</v>
      </c>
      <c r="E32" s="104">
        <f>G32*70%</f>
        <v>11958811057.9</v>
      </c>
      <c r="F32" s="43"/>
      <c r="G32" s="44">
        <v>17084015797</v>
      </c>
      <c r="H32" s="44"/>
      <c r="I32" s="44"/>
      <c r="J32" s="44"/>
      <c r="K32" s="28"/>
    </row>
    <row r="33" spans="3:11" ht="18.75" x14ac:dyDescent="0.3">
      <c r="C33" s="25" t="s">
        <v>129</v>
      </c>
      <c r="D33" s="30">
        <v>0.3</v>
      </c>
      <c r="E33" s="105">
        <f>G32*30%</f>
        <v>5125204739.0999994</v>
      </c>
      <c r="F33" s="43"/>
      <c r="G33" s="44"/>
      <c r="H33" s="44"/>
      <c r="I33" s="44"/>
      <c r="J33" s="44"/>
      <c r="K33" s="28"/>
    </row>
    <row r="34" spans="3:11" x14ac:dyDescent="0.25">
      <c r="E34" s="106"/>
      <c r="F34" s="43"/>
      <c r="G34" s="44"/>
      <c r="H34" s="44"/>
      <c r="I34" s="44"/>
      <c r="J34" s="44"/>
      <c r="K34" s="28"/>
    </row>
    <row r="35" spans="3:11" ht="18.75" x14ac:dyDescent="0.3">
      <c r="E35" s="107">
        <f>SUM(E32:E34)</f>
        <v>17084015797</v>
      </c>
      <c r="F35" s="43"/>
      <c r="G35" s="44"/>
      <c r="H35" s="44"/>
      <c r="I35" s="44"/>
      <c r="J35" s="44"/>
      <c r="K35" s="28"/>
    </row>
    <row r="41" spans="3:11" ht="15" hidden="1" customHeight="1" x14ac:dyDescent="0.3">
      <c r="C41" s="20" t="s">
        <v>131</v>
      </c>
      <c r="D41" s="21" t="s">
        <v>148</v>
      </c>
      <c r="E41" s="21" t="s">
        <v>132</v>
      </c>
      <c r="F41" s="21" t="s">
        <v>186</v>
      </c>
    </row>
    <row r="42" spans="3:11" ht="32.25" hidden="1" customHeight="1" thickBot="1" x14ac:dyDescent="0.3">
      <c r="C42" s="22" t="s">
        <v>147</v>
      </c>
      <c r="D42" s="23" t="s">
        <v>133</v>
      </c>
      <c r="E42" s="23" t="s">
        <v>134</v>
      </c>
      <c r="F42" s="45">
        <v>9305</v>
      </c>
    </row>
    <row r="43" spans="3:11" ht="15" hidden="1" customHeight="1" x14ac:dyDescent="0.25">
      <c r="C43" s="225" t="s">
        <v>135</v>
      </c>
      <c r="D43" s="24"/>
      <c r="E43" s="24"/>
      <c r="F43" s="46"/>
    </row>
    <row r="44" spans="3:11" ht="15" hidden="1" customHeight="1" x14ac:dyDescent="0.3">
      <c r="C44" s="226"/>
      <c r="D44" s="23" t="s">
        <v>136</v>
      </c>
      <c r="E44" s="23" t="s">
        <v>137</v>
      </c>
      <c r="F44" s="45">
        <v>2549</v>
      </c>
    </row>
    <row r="45" spans="3:11" ht="15" hidden="1" customHeight="1" x14ac:dyDescent="0.25">
      <c r="C45" s="225" t="s">
        <v>138</v>
      </c>
      <c r="D45" s="24"/>
      <c r="E45" s="24"/>
      <c r="F45" s="24"/>
    </row>
    <row r="46" spans="3:11" ht="15" hidden="1" customHeight="1" x14ac:dyDescent="0.3">
      <c r="C46" s="226"/>
      <c r="D46" s="23" t="s">
        <v>139</v>
      </c>
      <c r="E46" s="23" t="s">
        <v>140</v>
      </c>
      <c r="F46" s="23" t="s">
        <v>187</v>
      </c>
    </row>
    <row r="47" spans="3:11" ht="15" hidden="1" customHeight="1" x14ac:dyDescent="0.25">
      <c r="C47" s="225" t="s">
        <v>141</v>
      </c>
      <c r="D47" s="24"/>
      <c r="E47" s="24"/>
      <c r="F47" s="24"/>
    </row>
    <row r="48" spans="3:11" ht="15" hidden="1" customHeight="1" x14ac:dyDescent="0.3">
      <c r="C48" s="226"/>
      <c r="D48" s="23" t="s">
        <v>142</v>
      </c>
      <c r="E48" s="23" t="s">
        <v>143</v>
      </c>
      <c r="F48" s="23" t="s">
        <v>188</v>
      </c>
    </row>
    <row r="49" spans="3:6" ht="15" hidden="1" customHeight="1" x14ac:dyDescent="0.25">
      <c r="C49" s="225" t="s">
        <v>144</v>
      </c>
      <c r="D49" s="24"/>
      <c r="E49" s="24"/>
      <c r="F49" s="24"/>
    </row>
    <row r="50" spans="3:6" ht="15" hidden="1" customHeight="1" x14ac:dyDescent="0.3">
      <c r="C50" s="226"/>
      <c r="D50" s="23" t="s">
        <v>145</v>
      </c>
      <c r="E50" s="23" t="s">
        <v>146</v>
      </c>
      <c r="F50" s="45">
        <v>76</v>
      </c>
    </row>
  </sheetData>
  <autoFilter ref="A6:R14" xr:uid="{00000000-0009-0000-0000-000002000000}"/>
  <mergeCells count="24">
    <mergeCell ref="O5:O6"/>
    <mergeCell ref="M5:M6"/>
    <mergeCell ref="E5:E6"/>
    <mergeCell ref="F5:F6"/>
    <mergeCell ref="G5:G6"/>
    <mergeCell ref="N5:N6"/>
    <mergeCell ref="A1:A4"/>
    <mergeCell ref="A5:A6"/>
    <mergeCell ref="B5:B6"/>
    <mergeCell ref="C5:C6"/>
    <mergeCell ref="D5:D6"/>
    <mergeCell ref="D2:M2"/>
    <mergeCell ref="L1:M1"/>
    <mergeCell ref="L3:M3"/>
    <mergeCell ref="I5:I6"/>
    <mergeCell ref="C43:C44"/>
    <mergeCell ref="C45:C46"/>
    <mergeCell ref="C47:C48"/>
    <mergeCell ref="C49:C50"/>
    <mergeCell ref="L5:L6"/>
    <mergeCell ref="K5:K6"/>
    <mergeCell ref="C31:E31"/>
    <mergeCell ref="J5:J6"/>
    <mergeCell ref="H5:H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P42"/>
  <sheetViews>
    <sheetView topLeftCell="B29" zoomScale="70" zoomScaleNormal="70" workbookViewId="0">
      <selection activeCell="J38" sqref="J38"/>
    </sheetView>
  </sheetViews>
  <sheetFormatPr baseColWidth="10" defaultRowHeight="15" x14ac:dyDescent="0.25"/>
  <cols>
    <col min="1" max="1" width="33.28515625" style="1" customWidth="1"/>
    <col min="2" max="2" width="27.140625" customWidth="1"/>
    <col min="3" max="3" width="28.42578125" customWidth="1"/>
    <col min="4" max="4" width="36.7109375" customWidth="1"/>
    <col min="5" max="5" width="24.7109375" customWidth="1"/>
    <col min="6" max="6" width="14.42578125" style="1" customWidth="1"/>
    <col min="7" max="7" width="0.140625" style="1" customWidth="1"/>
    <col min="8" max="8" width="14.7109375" style="1" customWidth="1"/>
    <col min="9" max="9" width="16.42578125" style="1" customWidth="1"/>
    <col min="10" max="10" width="23.7109375" style="1" customWidth="1"/>
    <col min="11" max="11" width="21.85546875" style="1" customWidth="1"/>
    <col min="12" max="12" width="50.85546875" customWidth="1"/>
  </cols>
  <sheetData>
    <row r="1" spans="1:15" x14ac:dyDescent="0.25">
      <c r="J1" s="211" t="s">
        <v>196</v>
      </c>
      <c r="K1" s="212"/>
    </row>
    <row r="2" spans="1:15" x14ac:dyDescent="0.25">
      <c r="J2" s="211" t="s">
        <v>197</v>
      </c>
      <c r="K2" s="212"/>
    </row>
    <row r="3" spans="1:15" x14ac:dyDescent="0.25">
      <c r="J3" s="211" t="s">
        <v>174</v>
      </c>
      <c r="K3" s="212"/>
    </row>
    <row r="4" spans="1:15" ht="23.25" x14ac:dyDescent="0.35">
      <c r="A4" s="256" t="s">
        <v>286</v>
      </c>
      <c r="B4" s="256"/>
      <c r="C4" s="256"/>
      <c r="D4" s="256"/>
      <c r="E4" s="256"/>
      <c r="F4" s="256"/>
      <c r="G4" s="256"/>
      <c r="H4" s="256"/>
      <c r="I4" s="256"/>
      <c r="J4" s="256"/>
      <c r="K4" s="256"/>
    </row>
    <row r="5" spans="1:15" ht="78.75" customHeight="1" x14ac:dyDescent="0.35">
      <c r="A5" s="257" t="s">
        <v>192</v>
      </c>
      <c r="B5" s="258"/>
      <c r="C5" s="258"/>
      <c r="D5" s="258"/>
      <c r="E5" s="258"/>
      <c r="F5" s="258"/>
      <c r="G5" s="258"/>
      <c r="H5" s="258"/>
      <c r="I5" s="258"/>
      <c r="J5" s="258"/>
      <c r="K5" s="258"/>
    </row>
    <row r="6" spans="1:15" ht="15.75" thickBot="1" x14ac:dyDescent="0.3"/>
    <row r="7" spans="1:15" ht="15.75" customHeight="1" thickBot="1" x14ac:dyDescent="0.3">
      <c r="A7" s="259" t="s">
        <v>0</v>
      </c>
      <c r="B7" s="259" t="s">
        <v>1</v>
      </c>
      <c r="C7" s="259" t="s">
        <v>2</v>
      </c>
      <c r="D7" s="259" t="s">
        <v>3</v>
      </c>
      <c r="E7" s="259" t="s">
        <v>4</v>
      </c>
      <c r="F7" s="244" t="s">
        <v>5</v>
      </c>
      <c r="G7" s="242" t="s">
        <v>212</v>
      </c>
      <c r="H7" s="244" t="s">
        <v>244</v>
      </c>
      <c r="I7" s="244" t="s">
        <v>230</v>
      </c>
      <c r="J7" s="260" t="s">
        <v>227</v>
      </c>
      <c r="K7" s="261" t="s">
        <v>382</v>
      </c>
    </row>
    <row r="8" spans="1:15" ht="15.75" thickBot="1" x14ac:dyDescent="0.3">
      <c r="A8" s="259"/>
      <c r="B8" s="259"/>
      <c r="C8" s="259"/>
      <c r="D8" s="259"/>
      <c r="E8" s="259"/>
      <c r="F8" s="245"/>
      <c r="G8" s="243"/>
      <c r="H8" s="245"/>
      <c r="I8" s="245"/>
      <c r="J8" s="260"/>
      <c r="K8" s="261"/>
    </row>
    <row r="9" spans="1:15" ht="38.25" x14ac:dyDescent="0.25">
      <c r="A9" s="249" t="s">
        <v>6</v>
      </c>
      <c r="B9" s="265" t="s">
        <v>53</v>
      </c>
      <c r="C9" s="266" t="s">
        <v>310</v>
      </c>
      <c r="D9" s="254" t="s">
        <v>7</v>
      </c>
      <c r="E9" s="124" t="s">
        <v>8</v>
      </c>
      <c r="F9" s="125" t="s">
        <v>9</v>
      </c>
      <c r="G9" s="126"/>
      <c r="H9" s="267" t="s">
        <v>245</v>
      </c>
      <c r="I9" s="267" t="s">
        <v>246</v>
      </c>
      <c r="J9" s="167">
        <v>4.68</v>
      </c>
      <c r="K9" s="127">
        <v>1</v>
      </c>
    </row>
    <row r="10" spans="1:15" ht="48" customHeight="1" x14ac:dyDescent="0.25">
      <c r="A10" s="249"/>
      <c r="B10" s="250"/>
      <c r="C10" s="255"/>
      <c r="D10" s="254"/>
      <c r="E10" s="124" t="s">
        <v>306</v>
      </c>
      <c r="F10" s="125" t="s">
        <v>307</v>
      </c>
      <c r="G10" s="126"/>
      <c r="H10" s="252"/>
      <c r="I10" s="252"/>
      <c r="J10" s="167">
        <v>4.67</v>
      </c>
      <c r="K10" s="159">
        <v>1</v>
      </c>
    </row>
    <row r="11" spans="1:15" ht="38.25" x14ac:dyDescent="0.25">
      <c r="A11" s="249"/>
      <c r="B11" s="248" t="s">
        <v>10</v>
      </c>
      <c r="C11" s="122" t="s">
        <v>308</v>
      </c>
      <c r="D11" s="254"/>
      <c r="E11" s="124" t="s">
        <v>283</v>
      </c>
      <c r="F11" s="125" t="s">
        <v>11</v>
      </c>
      <c r="G11" s="126"/>
      <c r="H11" s="263"/>
      <c r="I11" s="263"/>
      <c r="J11" s="168">
        <v>4.7300000000000004</v>
      </c>
      <c r="K11" s="128">
        <v>1</v>
      </c>
    </row>
    <row r="12" spans="1:15" ht="68.25" customHeight="1" x14ac:dyDescent="0.25">
      <c r="A12" s="250"/>
      <c r="B12" s="250"/>
      <c r="C12" s="158" t="s">
        <v>309</v>
      </c>
      <c r="D12" s="255"/>
      <c r="E12" s="124" t="s">
        <v>12</v>
      </c>
      <c r="F12" s="125" t="s">
        <v>11</v>
      </c>
      <c r="G12" s="126"/>
      <c r="H12" s="264"/>
      <c r="I12" s="264"/>
      <c r="J12" s="210">
        <v>4.32</v>
      </c>
      <c r="K12" s="210">
        <v>0</v>
      </c>
      <c r="L12" t="s">
        <v>390</v>
      </c>
    </row>
    <row r="13" spans="1:15" ht="15" customHeight="1" x14ac:dyDescent="0.25">
      <c r="A13" s="262" t="s">
        <v>317</v>
      </c>
      <c r="B13" s="248" t="s">
        <v>312</v>
      </c>
      <c r="C13" s="248" t="s">
        <v>190</v>
      </c>
      <c r="D13" s="268" t="s">
        <v>13</v>
      </c>
      <c r="E13" s="129" t="s">
        <v>14</v>
      </c>
      <c r="F13" s="262">
        <v>0</v>
      </c>
      <c r="G13" s="130"/>
      <c r="H13" s="251" t="s">
        <v>247</v>
      </c>
      <c r="I13" s="251" t="s">
        <v>313</v>
      </c>
      <c r="J13" s="194">
        <v>1</v>
      </c>
      <c r="K13" s="195">
        <v>0</v>
      </c>
    </row>
    <row r="14" spans="1:15" ht="22.5" customHeight="1" x14ac:dyDescent="0.25">
      <c r="A14" s="254"/>
      <c r="B14" s="249"/>
      <c r="C14" s="249"/>
      <c r="D14" s="269"/>
      <c r="E14" s="121" t="s">
        <v>15</v>
      </c>
      <c r="F14" s="254"/>
      <c r="G14" s="130"/>
      <c r="H14" s="263"/>
      <c r="I14" s="252"/>
      <c r="J14" s="168">
        <v>0</v>
      </c>
      <c r="K14" s="128">
        <v>1</v>
      </c>
    </row>
    <row r="15" spans="1:15" ht="26.25" customHeight="1" x14ac:dyDescent="0.25">
      <c r="A15" s="254"/>
      <c r="B15" s="250"/>
      <c r="C15" s="250"/>
      <c r="D15" s="270"/>
      <c r="E15" s="121" t="s">
        <v>16</v>
      </c>
      <c r="F15" s="255"/>
      <c r="G15" s="130"/>
      <c r="H15" s="264"/>
      <c r="I15" s="252"/>
      <c r="J15" s="168">
        <v>0</v>
      </c>
      <c r="K15" s="128">
        <v>1</v>
      </c>
    </row>
    <row r="16" spans="1:15" ht="140.25" customHeight="1" x14ac:dyDescent="0.25">
      <c r="A16" s="254"/>
      <c r="B16" s="128" t="s">
        <v>312</v>
      </c>
      <c r="C16" s="157" t="s">
        <v>190</v>
      </c>
      <c r="D16" s="121" t="s">
        <v>17</v>
      </c>
      <c r="E16" s="121" t="s">
        <v>18</v>
      </c>
      <c r="F16" s="122" t="s">
        <v>19</v>
      </c>
      <c r="G16" s="123"/>
      <c r="H16" s="123" t="s">
        <v>248</v>
      </c>
      <c r="I16" s="252"/>
      <c r="J16" s="132">
        <v>1</v>
      </c>
      <c r="K16" s="128">
        <v>1</v>
      </c>
      <c r="L16" s="84" t="s">
        <v>346</v>
      </c>
      <c r="M16" s="83"/>
      <c r="N16" s="83"/>
      <c r="O16" s="83"/>
    </row>
    <row r="17" spans="1:16" ht="100.5" customHeight="1" x14ac:dyDescent="0.25">
      <c r="A17" s="254"/>
      <c r="B17" s="128" t="s">
        <v>312</v>
      </c>
      <c r="C17" s="157" t="s">
        <v>190</v>
      </c>
      <c r="D17" s="121" t="s">
        <v>20</v>
      </c>
      <c r="E17" s="121" t="s">
        <v>21</v>
      </c>
      <c r="F17" s="122" t="s">
        <v>22</v>
      </c>
      <c r="G17" s="123"/>
      <c r="H17" s="123" t="s">
        <v>249</v>
      </c>
      <c r="I17" s="252"/>
      <c r="J17" s="132">
        <v>1</v>
      </c>
      <c r="K17" s="128">
        <v>1</v>
      </c>
      <c r="L17" s="84" t="s">
        <v>347</v>
      </c>
      <c r="M17" s="83"/>
      <c r="N17" s="83"/>
      <c r="O17" s="83"/>
    </row>
    <row r="18" spans="1:16" ht="82.5" customHeight="1" x14ac:dyDescent="0.25">
      <c r="A18" s="255"/>
      <c r="B18" s="170" t="s">
        <v>24</v>
      </c>
      <c r="C18" s="171" t="s">
        <v>82</v>
      </c>
      <c r="D18" s="121" t="s">
        <v>319</v>
      </c>
      <c r="E18" s="121" t="s">
        <v>320</v>
      </c>
      <c r="F18" s="122">
        <v>3</v>
      </c>
      <c r="G18" s="123"/>
      <c r="H18" s="123" t="s">
        <v>369</v>
      </c>
      <c r="I18" s="253"/>
      <c r="J18" s="133">
        <v>1</v>
      </c>
      <c r="K18" s="134">
        <v>1</v>
      </c>
      <c r="L18" s="84" t="s">
        <v>370</v>
      </c>
      <c r="M18" s="83"/>
      <c r="N18" s="83"/>
      <c r="O18" s="83"/>
    </row>
    <row r="19" spans="1:16" ht="25.5" x14ac:dyDescent="0.25">
      <c r="A19" s="262" t="s">
        <v>23</v>
      </c>
      <c r="B19" s="248" t="s">
        <v>24</v>
      </c>
      <c r="C19" s="248" t="s">
        <v>82</v>
      </c>
      <c r="D19" s="121" t="s">
        <v>25</v>
      </c>
      <c r="E19" s="121" t="s">
        <v>26</v>
      </c>
      <c r="F19" s="122" t="s">
        <v>27</v>
      </c>
      <c r="G19" s="130"/>
      <c r="H19" s="251" t="s">
        <v>252</v>
      </c>
      <c r="I19" s="251" t="s">
        <v>250</v>
      </c>
      <c r="J19" s="168">
        <v>4.5599999999999996</v>
      </c>
      <c r="K19" s="128">
        <v>1</v>
      </c>
    </row>
    <row r="20" spans="1:16" ht="25.5" x14ac:dyDescent="0.25">
      <c r="A20" s="254"/>
      <c r="B20" s="249"/>
      <c r="C20" s="249"/>
      <c r="D20" s="121" t="s">
        <v>28</v>
      </c>
      <c r="E20" s="121" t="s">
        <v>29</v>
      </c>
      <c r="F20" s="135" t="s">
        <v>30</v>
      </c>
      <c r="G20" s="136"/>
      <c r="H20" s="252"/>
      <c r="I20" s="252"/>
      <c r="J20" s="168">
        <v>4.83</v>
      </c>
      <c r="K20" s="128">
        <v>1</v>
      </c>
    </row>
    <row r="21" spans="1:16" ht="27" customHeight="1" x14ac:dyDescent="0.25">
      <c r="A21" s="255"/>
      <c r="B21" s="250"/>
      <c r="C21" s="250"/>
      <c r="D21" s="137" t="s">
        <v>31</v>
      </c>
      <c r="E21" s="121" t="s">
        <v>32</v>
      </c>
      <c r="F21" s="135" t="s">
        <v>33</v>
      </c>
      <c r="G21" s="136"/>
      <c r="H21" s="253"/>
      <c r="I21" s="253"/>
      <c r="J21" s="168">
        <v>4.75</v>
      </c>
      <c r="K21" s="128">
        <v>1</v>
      </c>
    </row>
    <row r="22" spans="1:16" ht="87" customHeight="1" x14ac:dyDescent="0.25">
      <c r="A22" s="248" t="s">
        <v>34</v>
      </c>
      <c r="B22" s="128" t="s">
        <v>312</v>
      </c>
      <c r="C22" s="248" t="s">
        <v>190</v>
      </c>
      <c r="D22" s="121" t="s">
        <v>35</v>
      </c>
      <c r="E22" s="121" t="s">
        <v>36</v>
      </c>
      <c r="F22" s="122" t="s">
        <v>193</v>
      </c>
      <c r="G22" s="130"/>
      <c r="H22" s="251" t="s">
        <v>253</v>
      </c>
      <c r="I22" s="251" t="s">
        <v>314</v>
      </c>
      <c r="J22" s="180">
        <v>0.85</v>
      </c>
      <c r="K22" s="128">
        <v>1</v>
      </c>
      <c r="L22" s="246"/>
      <c r="M22" s="247"/>
      <c r="N22" s="247"/>
      <c r="O22" s="247"/>
      <c r="P22" s="247"/>
    </row>
    <row r="23" spans="1:16" ht="51" x14ac:dyDescent="0.25">
      <c r="A23" s="249"/>
      <c r="B23" s="128" t="s">
        <v>312</v>
      </c>
      <c r="C23" s="249"/>
      <c r="D23" s="121" t="s">
        <v>37</v>
      </c>
      <c r="E23" s="121" t="s">
        <v>38</v>
      </c>
      <c r="F23" s="122" t="s">
        <v>194</v>
      </c>
      <c r="G23" s="130"/>
      <c r="H23" s="253"/>
      <c r="I23" s="252"/>
      <c r="J23" s="179">
        <v>0.64</v>
      </c>
      <c r="K23" s="128">
        <v>1</v>
      </c>
      <c r="L23" s="246"/>
      <c r="M23" s="247"/>
      <c r="N23" s="247"/>
      <c r="O23" s="247"/>
      <c r="P23" s="247"/>
    </row>
    <row r="24" spans="1:16" ht="51" x14ac:dyDescent="0.25">
      <c r="A24" s="249"/>
      <c r="B24" s="128" t="s">
        <v>312</v>
      </c>
      <c r="C24" s="249"/>
      <c r="D24" s="121" t="s">
        <v>39</v>
      </c>
      <c r="E24" s="121" t="s">
        <v>40</v>
      </c>
      <c r="F24" s="122" t="s">
        <v>195</v>
      </c>
      <c r="G24" s="130"/>
      <c r="H24" s="251" t="s">
        <v>254</v>
      </c>
      <c r="I24" s="252"/>
      <c r="J24" s="181">
        <v>87.01</v>
      </c>
      <c r="K24" s="128">
        <v>1</v>
      </c>
      <c r="L24" s="246"/>
      <c r="M24" s="247"/>
      <c r="N24" s="247"/>
      <c r="O24" s="247"/>
      <c r="P24" s="247"/>
    </row>
    <row r="25" spans="1:16" ht="51" x14ac:dyDescent="0.25">
      <c r="A25" s="250"/>
      <c r="B25" s="128" t="s">
        <v>312</v>
      </c>
      <c r="C25" s="250"/>
      <c r="D25" s="121" t="s">
        <v>41</v>
      </c>
      <c r="E25" s="121" t="s">
        <v>40</v>
      </c>
      <c r="F25" s="122" t="s">
        <v>209</v>
      </c>
      <c r="G25" s="130"/>
      <c r="H25" s="253"/>
      <c r="I25" s="252"/>
      <c r="J25" s="197">
        <v>127.95</v>
      </c>
      <c r="K25" s="195">
        <v>0</v>
      </c>
      <c r="L25" s="246"/>
      <c r="M25" s="247"/>
      <c r="N25" s="247"/>
      <c r="O25" s="247"/>
      <c r="P25" s="247"/>
    </row>
    <row r="26" spans="1:16" ht="60.75" customHeight="1" x14ac:dyDescent="0.25">
      <c r="A26" s="262" t="s">
        <v>42</v>
      </c>
      <c r="B26" s="128" t="s">
        <v>312</v>
      </c>
      <c r="C26" s="248" t="s">
        <v>318</v>
      </c>
      <c r="D26" s="121" t="s">
        <v>43</v>
      </c>
      <c r="E26" s="121" t="s">
        <v>44</v>
      </c>
      <c r="F26" s="122" t="s">
        <v>45</v>
      </c>
      <c r="G26" s="130"/>
      <c r="H26" s="251" t="s">
        <v>255</v>
      </c>
      <c r="I26" s="252"/>
      <c r="J26" s="132">
        <v>0.61</v>
      </c>
      <c r="K26" s="128">
        <v>1</v>
      </c>
    </row>
    <row r="27" spans="1:16" ht="76.5" customHeight="1" x14ac:dyDescent="0.25">
      <c r="A27" s="255"/>
      <c r="B27" s="128" t="s">
        <v>312</v>
      </c>
      <c r="C27" s="250"/>
      <c r="D27" s="121" t="s">
        <v>46</v>
      </c>
      <c r="E27" s="121" t="s">
        <v>44</v>
      </c>
      <c r="F27" s="122" t="s">
        <v>45</v>
      </c>
      <c r="G27" s="130"/>
      <c r="H27" s="253"/>
      <c r="I27" s="253"/>
      <c r="J27" s="172">
        <v>0.61499999999999999</v>
      </c>
      <c r="K27" s="128">
        <v>1</v>
      </c>
    </row>
    <row r="28" spans="1:16" ht="76.5" customHeight="1" x14ac:dyDescent="0.25">
      <c r="A28" s="125" t="s">
        <v>332</v>
      </c>
      <c r="B28" s="128" t="s">
        <v>185</v>
      </c>
      <c r="C28" s="159" t="s">
        <v>291</v>
      </c>
      <c r="D28" s="121" t="s">
        <v>333</v>
      </c>
      <c r="E28" s="121" t="s">
        <v>315</v>
      </c>
      <c r="F28" s="122">
        <v>2</v>
      </c>
      <c r="G28" s="130"/>
      <c r="H28" s="126" t="s">
        <v>331</v>
      </c>
      <c r="I28" s="126" t="s">
        <v>316</v>
      </c>
      <c r="J28" s="132">
        <v>1</v>
      </c>
      <c r="K28" s="128">
        <v>1</v>
      </c>
      <c r="L28" s="8" t="s">
        <v>348</v>
      </c>
    </row>
    <row r="29" spans="1:16" ht="110.25" customHeight="1" x14ac:dyDescent="0.25">
      <c r="A29" s="125" t="s">
        <v>334</v>
      </c>
      <c r="B29" s="128" t="s">
        <v>312</v>
      </c>
      <c r="C29" s="159" t="s">
        <v>318</v>
      </c>
      <c r="D29" s="121" t="s">
        <v>339</v>
      </c>
      <c r="E29" s="121" t="s">
        <v>335</v>
      </c>
      <c r="F29" s="122">
        <v>1</v>
      </c>
      <c r="G29" s="130" t="s">
        <v>336</v>
      </c>
      <c r="H29" s="126" t="s">
        <v>337</v>
      </c>
      <c r="I29" s="126" t="s">
        <v>316</v>
      </c>
      <c r="J29" s="132">
        <v>1</v>
      </c>
      <c r="K29" s="128">
        <v>1</v>
      </c>
      <c r="L29" s="41" t="s">
        <v>338</v>
      </c>
    </row>
    <row r="30" spans="1:16" ht="93.75" customHeight="1" x14ac:dyDescent="0.25">
      <c r="A30" s="128" t="s">
        <v>47</v>
      </c>
      <c r="B30" s="128" t="s">
        <v>185</v>
      </c>
      <c r="C30" s="128" t="s">
        <v>48</v>
      </c>
      <c r="D30" s="121" t="s">
        <v>49</v>
      </c>
      <c r="E30" s="121" t="s">
        <v>50</v>
      </c>
      <c r="F30" s="122" t="s">
        <v>51</v>
      </c>
      <c r="G30" s="130"/>
      <c r="H30" s="130" t="s">
        <v>256</v>
      </c>
      <c r="I30" s="130" t="s">
        <v>251</v>
      </c>
      <c r="J30" s="138">
        <v>1</v>
      </c>
      <c r="K30" s="128">
        <v>1</v>
      </c>
    </row>
    <row r="31" spans="1:16" ht="36" customHeight="1" x14ac:dyDescent="0.25">
      <c r="A31" s="262" t="s">
        <v>52</v>
      </c>
      <c r="B31" s="262" t="s">
        <v>53</v>
      </c>
      <c r="C31" s="122" t="s">
        <v>311</v>
      </c>
      <c r="D31" s="121" t="s">
        <v>214</v>
      </c>
      <c r="E31" s="121" t="s">
        <v>54</v>
      </c>
      <c r="F31" s="122">
        <v>0</v>
      </c>
      <c r="G31" s="130"/>
      <c r="H31" s="251" t="s">
        <v>257</v>
      </c>
      <c r="I31" s="251" t="s">
        <v>280</v>
      </c>
      <c r="J31" s="208">
        <v>3</v>
      </c>
      <c r="K31" s="170">
        <v>0</v>
      </c>
      <c r="L31" s="8"/>
    </row>
    <row r="32" spans="1:16" ht="38.25" x14ac:dyDescent="0.25">
      <c r="A32" s="254"/>
      <c r="B32" s="254"/>
      <c r="C32" s="122" t="s">
        <v>311</v>
      </c>
      <c r="D32" s="139" t="s">
        <v>55</v>
      </c>
      <c r="E32" s="139" t="s">
        <v>56</v>
      </c>
      <c r="F32" s="130" t="s">
        <v>57</v>
      </c>
      <c r="G32" s="130"/>
      <c r="H32" s="263"/>
      <c r="I32" s="252"/>
      <c r="J32" s="133">
        <f>470/470</f>
        <v>1</v>
      </c>
      <c r="K32" s="128">
        <v>1</v>
      </c>
    </row>
    <row r="33" spans="1:12" ht="48" customHeight="1" x14ac:dyDescent="0.25">
      <c r="A33" s="254"/>
      <c r="B33" s="254"/>
      <c r="C33" s="122" t="s">
        <v>311</v>
      </c>
      <c r="D33" s="139" t="s">
        <v>58</v>
      </c>
      <c r="E33" s="139" t="s">
        <v>59</v>
      </c>
      <c r="F33" s="130" t="s">
        <v>57</v>
      </c>
      <c r="G33" s="130"/>
      <c r="H33" s="263"/>
      <c r="I33" s="252"/>
      <c r="J33" s="209">
        <v>0.99570000000000003</v>
      </c>
      <c r="K33" s="131">
        <v>1</v>
      </c>
    </row>
    <row r="34" spans="1:12" ht="49.5" customHeight="1" x14ac:dyDescent="0.25">
      <c r="A34" s="255"/>
      <c r="B34" s="255"/>
      <c r="C34" s="122" t="s">
        <v>311</v>
      </c>
      <c r="D34" s="139" t="s">
        <v>60</v>
      </c>
      <c r="E34" s="139" t="s">
        <v>61</v>
      </c>
      <c r="F34" s="175">
        <v>0.1832</v>
      </c>
      <c r="G34" s="140"/>
      <c r="H34" s="264"/>
      <c r="I34" s="253"/>
      <c r="J34" s="196">
        <v>0.39900000000000002</v>
      </c>
      <c r="K34" s="128">
        <v>1</v>
      </c>
      <c r="L34">
        <f>J34*100/F34</f>
        <v>217.79475982532753</v>
      </c>
    </row>
    <row r="36" spans="1:12" x14ac:dyDescent="0.25">
      <c r="F36" s="6" t="s">
        <v>62</v>
      </c>
      <c r="G36" s="6"/>
      <c r="H36" s="6"/>
      <c r="I36" s="6"/>
      <c r="J36" s="6"/>
      <c r="K36" s="12">
        <f>SUM(K9:K34)</f>
        <v>22</v>
      </c>
    </row>
    <row r="37" spans="1:12" x14ac:dyDescent="0.25">
      <c r="F37" s="6" t="s">
        <v>63</v>
      </c>
      <c r="G37" s="6"/>
      <c r="H37" s="6"/>
      <c r="I37" s="6"/>
      <c r="J37" s="6"/>
      <c r="K37" s="6">
        <v>26</v>
      </c>
    </row>
    <row r="38" spans="1:12" x14ac:dyDescent="0.25">
      <c r="F38" s="6" t="s">
        <v>64</v>
      </c>
      <c r="G38" s="6"/>
      <c r="H38" s="6"/>
      <c r="I38" s="6"/>
      <c r="J38" s="6"/>
      <c r="K38" s="7">
        <f>+K36/K37</f>
        <v>0.84615384615384615</v>
      </c>
    </row>
    <row r="41" spans="1:12" x14ac:dyDescent="0.25">
      <c r="B41" t="s">
        <v>90</v>
      </c>
      <c r="D41" t="s">
        <v>191</v>
      </c>
    </row>
    <row r="42" spans="1:12" x14ac:dyDescent="0.25">
      <c r="B42" t="s">
        <v>330</v>
      </c>
      <c r="D42" t="s">
        <v>189</v>
      </c>
    </row>
  </sheetData>
  <mergeCells count="48">
    <mergeCell ref="B9:B10"/>
    <mergeCell ref="C9:C10"/>
    <mergeCell ref="H9:H12"/>
    <mergeCell ref="I9:I12"/>
    <mergeCell ref="A13:A18"/>
    <mergeCell ref="H13:H15"/>
    <mergeCell ref="D13:D15"/>
    <mergeCell ref="F13:F15"/>
    <mergeCell ref="I31:I34"/>
    <mergeCell ref="A31:A34"/>
    <mergeCell ref="B31:B34"/>
    <mergeCell ref="A19:A21"/>
    <mergeCell ref="B19:B21"/>
    <mergeCell ref="A26:A27"/>
    <mergeCell ref="H31:H34"/>
    <mergeCell ref="C19:C21"/>
    <mergeCell ref="J1:K1"/>
    <mergeCell ref="J2:K2"/>
    <mergeCell ref="J3:K3"/>
    <mergeCell ref="A9:A12"/>
    <mergeCell ref="D9:D12"/>
    <mergeCell ref="B11:B12"/>
    <mergeCell ref="A4:K4"/>
    <mergeCell ref="A5:K5"/>
    <mergeCell ref="A7:A8"/>
    <mergeCell ref="B7:B8"/>
    <mergeCell ref="C7:C8"/>
    <mergeCell ref="D7:D8"/>
    <mergeCell ref="E7:E8"/>
    <mergeCell ref="F7:F8"/>
    <mergeCell ref="J7:J8"/>
    <mergeCell ref="K7:K8"/>
    <mergeCell ref="G7:G8"/>
    <mergeCell ref="H7:H8"/>
    <mergeCell ref="I7:I8"/>
    <mergeCell ref="L22:P25"/>
    <mergeCell ref="A22:A25"/>
    <mergeCell ref="C22:C25"/>
    <mergeCell ref="I13:I18"/>
    <mergeCell ref="I19:I21"/>
    <mergeCell ref="I22:I27"/>
    <mergeCell ref="H19:H21"/>
    <mergeCell ref="H22:H23"/>
    <mergeCell ref="H24:H25"/>
    <mergeCell ref="H26:H27"/>
    <mergeCell ref="B13:B15"/>
    <mergeCell ref="C26:C27"/>
    <mergeCell ref="C13:C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R35"/>
  <sheetViews>
    <sheetView tabSelected="1" topLeftCell="C25" zoomScale="80" zoomScaleNormal="80" workbookViewId="0">
      <selection activeCell="K11" sqref="K11"/>
    </sheetView>
  </sheetViews>
  <sheetFormatPr baseColWidth="10" defaultRowHeight="15" x14ac:dyDescent="0.25"/>
  <cols>
    <col min="1" max="1" width="29" customWidth="1"/>
    <col min="2" max="2" width="24.42578125" customWidth="1"/>
    <col min="3" max="3" width="25.7109375" customWidth="1"/>
    <col min="4" max="4" width="17.85546875" customWidth="1"/>
    <col min="5" max="5" width="20.140625" style="1" customWidth="1"/>
    <col min="6" max="6" width="16.42578125" customWidth="1"/>
    <col min="7" max="7" width="20.140625" customWidth="1"/>
    <col min="8" max="8" width="34.7109375" style="31" hidden="1" customWidth="1"/>
    <col min="9" max="9" width="28.42578125" style="31" customWidth="1"/>
    <col min="10" max="10" width="34.7109375" style="31" customWidth="1"/>
    <col min="11" max="11" width="27.42578125" customWidth="1"/>
    <col min="12" max="12" width="25.140625" customWidth="1"/>
    <col min="13" max="13" width="15.7109375" customWidth="1"/>
  </cols>
  <sheetData>
    <row r="1" spans="1:18" x14ac:dyDescent="0.25">
      <c r="A1" s="274"/>
      <c r="K1" s="283" t="s">
        <v>196</v>
      </c>
      <c r="L1" s="283"/>
      <c r="M1" s="283"/>
    </row>
    <row r="2" spans="1:18" x14ac:dyDescent="0.25">
      <c r="A2" s="274"/>
      <c r="B2" s="274"/>
      <c r="C2" s="274"/>
      <c r="D2" s="274"/>
      <c r="E2" s="274"/>
      <c r="F2" s="274"/>
      <c r="G2" s="274"/>
      <c r="H2" s="274"/>
      <c r="I2" s="274"/>
      <c r="J2" s="294"/>
      <c r="K2" s="283" t="s">
        <v>197</v>
      </c>
      <c r="L2" s="283"/>
      <c r="M2" s="283"/>
    </row>
    <row r="3" spans="1:18" x14ac:dyDescent="0.25">
      <c r="A3" s="274"/>
      <c r="K3" s="283" t="s">
        <v>174</v>
      </c>
      <c r="L3" s="283"/>
      <c r="M3" s="283"/>
    </row>
    <row r="4" spans="1:18" ht="37.5" customHeight="1" x14ac:dyDescent="0.25">
      <c r="E4" s="292" t="s">
        <v>5</v>
      </c>
      <c r="F4" s="292"/>
      <c r="G4" s="293"/>
      <c r="H4" s="33"/>
      <c r="I4" s="284" t="s">
        <v>229</v>
      </c>
      <c r="J4" s="286" t="s">
        <v>230</v>
      </c>
      <c r="K4" s="286" t="s">
        <v>383</v>
      </c>
      <c r="L4" s="288" t="s">
        <v>88</v>
      </c>
      <c r="M4" s="290" t="s">
        <v>382</v>
      </c>
    </row>
    <row r="5" spans="1:18" x14ac:dyDescent="0.25">
      <c r="A5" s="13" t="s">
        <v>1</v>
      </c>
      <c r="B5" s="13" t="s">
        <v>2</v>
      </c>
      <c r="C5" s="13" t="s">
        <v>4</v>
      </c>
      <c r="D5" s="13" t="s">
        <v>86</v>
      </c>
      <c r="E5" s="13" t="s">
        <v>388</v>
      </c>
      <c r="F5" s="13" t="s">
        <v>87</v>
      </c>
      <c r="G5" s="13" t="s">
        <v>130</v>
      </c>
      <c r="H5" s="200" t="s">
        <v>171</v>
      </c>
      <c r="I5" s="285"/>
      <c r="J5" s="287"/>
      <c r="K5" s="287"/>
      <c r="L5" s="289"/>
      <c r="M5" s="291"/>
    </row>
    <row r="6" spans="1:18" ht="49.5" customHeight="1" x14ac:dyDescent="0.25">
      <c r="A6" s="109" t="s">
        <v>89</v>
      </c>
      <c r="B6" s="109" t="s">
        <v>90</v>
      </c>
      <c r="C6" s="110" t="s">
        <v>91</v>
      </c>
      <c r="D6" s="18" t="s">
        <v>92</v>
      </c>
      <c r="E6" s="198">
        <v>1</v>
      </c>
      <c r="F6" s="204">
        <v>0.9</v>
      </c>
      <c r="G6" s="199">
        <v>0.85</v>
      </c>
      <c r="H6" s="111"/>
      <c r="I6" s="111" t="s">
        <v>258</v>
      </c>
      <c r="J6" s="111" t="s">
        <v>259</v>
      </c>
      <c r="K6" s="154">
        <f>'OBJETIVOS ESTRATEGICOS '!M7</f>
        <v>1.4362074358599353</v>
      </c>
      <c r="L6" s="154">
        <f>(1+(K6-G6)/G6)</f>
        <v>1.6896558068940415</v>
      </c>
      <c r="M6" s="3">
        <v>1</v>
      </c>
      <c r="N6" s="14"/>
    </row>
    <row r="7" spans="1:18" ht="45.75" customHeight="1" x14ac:dyDescent="0.25">
      <c r="A7" s="275" t="s">
        <v>73</v>
      </c>
      <c r="B7" s="304" t="s">
        <v>384</v>
      </c>
      <c r="C7" s="16" t="s">
        <v>93</v>
      </c>
      <c r="D7" s="15" t="s">
        <v>94</v>
      </c>
      <c r="E7" s="182">
        <v>15000000000</v>
      </c>
      <c r="F7" s="182">
        <v>14000000000</v>
      </c>
      <c r="G7" s="182">
        <v>13000000000</v>
      </c>
      <c r="H7" s="111"/>
      <c r="I7" s="295" t="s">
        <v>260</v>
      </c>
      <c r="J7" s="297" t="s">
        <v>372</v>
      </c>
      <c r="K7" s="112">
        <v>15161769639</v>
      </c>
      <c r="L7" s="154">
        <f>(1+(K7-G7)/G7)</f>
        <v>1.1662899722307691</v>
      </c>
      <c r="M7" s="3">
        <v>1</v>
      </c>
    </row>
    <row r="8" spans="1:18" ht="24.75" x14ac:dyDescent="0.25">
      <c r="A8" s="275"/>
      <c r="B8" s="304"/>
      <c r="C8" s="113" t="s">
        <v>95</v>
      </c>
      <c r="D8" s="114" t="s">
        <v>94</v>
      </c>
      <c r="E8" s="182">
        <v>6000000000</v>
      </c>
      <c r="F8" s="182">
        <v>5000000000</v>
      </c>
      <c r="G8" s="182">
        <v>4000000000</v>
      </c>
      <c r="H8" s="111"/>
      <c r="I8" s="296"/>
      <c r="J8" s="298"/>
      <c r="K8" s="112">
        <f>9309451731+1682727265</f>
        <v>10992178996</v>
      </c>
      <c r="L8" s="154">
        <f>(1+(K8-G8)/G8)</f>
        <v>2.748044749</v>
      </c>
      <c r="M8" s="3">
        <v>1</v>
      </c>
    </row>
    <row r="9" spans="1:18" ht="59.25" customHeight="1" x14ac:dyDescent="0.25">
      <c r="A9" s="275" t="s">
        <v>96</v>
      </c>
      <c r="B9" s="304" t="s">
        <v>385</v>
      </c>
      <c r="C9" s="16" t="s">
        <v>159</v>
      </c>
      <c r="D9" s="15" t="s">
        <v>97</v>
      </c>
      <c r="E9" s="201">
        <v>0.3</v>
      </c>
      <c r="F9" s="202">
        <v>0.28000000000000003</v>
      </c>
      <c r="G9" s="202">
        <v>0.25</v>
      </c>
      <c r="H9" s="115"/>
      <c r="I9" s="299" t="s">
        <v>260</v>
      </c>
      <c r="J9" s="182" t="s">
        <v>371</v>
      </c>
      <c r="K9" s="173">
        <v>0.23</v>
      </c>
      <c r="L9" s="154">
        <f>(1+(K9-G9)/G9)</f>
        <v>0.92</v>
      </c>
      <c r="M9" s="3">
        <v>0</v>
      </c>
    </row>
    <row r="10" spans="1:18" ht="48" x14ac:dyDescent="0.25">
      <c r="A10" s="275"/>
      <c r="B10" s="304"/>
      <c r="C10" s="16" t="s">
        <v>160</v>
      </c>
      <c r="D10" s="15" t="s">
        <v>161</v>
      </c>
      <c r="E10" s="201">
        <v>0.3</v>
      </c>
      <c r="F10" s="202">
        <v>0.28000000000000003</v>
      </c>
      <c r="G10" s="202">
        <v>0.25</v>
      </c>
      <c r="H10" s="115"/>
      <c r="I10" s="300"/>
      <c r="J10" s="151" t="s">
        <v>261</v>
      </c>
      <c r="K10" s="173">
        <v>0.39</v>
      </c>
      <c r="L10" s="154">
        <f>(1+(K10-G10)/G10)</f>
        <v>1.56</v>
      </c>
      <c r="M10" s="3">
        <v>1</v>
      </c>
    </row>
    <row r="11" spans="1:18" ht="74.25" customHeight="1" x14ac:dyDescent="0.25">
      <c r="A11" s="271" t="s">
        <v>53</v>
      </c>
      <c r="B11" s="276" t="s">
        <v>98</v>
      </c>
      <c r="C11" s="117" t="s">
        <v>99</v>
      </c>
      <c r="D11" s="15" t="s">
        <v>168</v>
      </c>
      <c r="E11" s="201">
        <v>0</v>
      </c>
      <c r="F11" s="202">
        <v>0.01</v>
      </c>
      <c r="G11" s="202">
        <v>0.02</v>
      </c>
      <c r="H11" s="115"/>
      <c r="I11" s="301" t="s">
        <v>322</v>
      </c>
      <c r="J11" s="301" t="s">
        <v>262</v>
      </c>
      <c r="K11" s="173">
        <v>0.01</v>
      </c>
      <c r="L11" s="154">
        <f>(1-(K11-G11)/G11)</f>
        <v>1.5</v>
      </c>
      <c r="M11" s="4">
        <v>1</v>
      </c>
    </row>
    <row r="12" spans="1:18" ht="70.5" customHeight="1" x14ac:dyDescent="0.25">
      <c r="A12" s="272"/>
      <c r="B12" s="277"/>
      <c r="C12" s="117" t="s">
        <v>100</v>
      </c>
      <c r="D12" s="15" t="s">
        <v>101</v>
      </c>
      <c r="E12" s="201">
        <v>1</v>
      </c>
      <c r="F12" s="202">
        <v>0.95</v>
      </c>
      <c r="G12" s="202">
        <v>0.9</v>
      </c>
      <c r="H12" s="115"/>
      <c r="I12" s="302"/>
      <c r="J12" s="303"/>
      <c r="K12" s="173">
        <v>1</v>
      </c>
      <c r="L12" s="154">
        <f>(1+(K12-G12)/G12)</f>
        <v>1.1111111111111112</v>
      </c>
      <c r="M12" s="3">
        <v>1</v>
      </c>
      <c r="R12">
        <v>10</v>
      </c>
    </row>
    <row r="13" spans="1:18" ht="32.25" customHeight="1" x14ac:dyDescent="0.25">
      <c r="A13" s="272"/>
      <c r="B13" s="277"/>
      <c r="C13" s="117" t="s">
        <v>102</v>
      </c>
      <c r="D13" s="15" t="s">
        <v>103</v>
      </c>
      <c r="E13" s="205">
        <v>0.15</v>
      </c>
      <c r="F13" s="202">
        <v>0.12</v>
      </c>
      <c r="G13" s="202">
        <v>0.1</v>
      </c>
      <c r="H13" s="115"/>
      <c r="I13" s="302"/>
      <c r="J13" s="303"/>
      <c r="K13" s="206">
        <v>0.39900000000000002</v>
      </c>
      <c r="L13" s="154">
        <f>(1+(K13-G13)/G13)</f>
        <v>3.99</v>
      </c>
      <c r="M13" s="3">
        <v>1</v>
      </c>
    </row>
    <row r="14" spans="1:18" ht="24" x14ac:dyDescent="0.25">
      <c r="A14" s="272"/>
      <c r="B14" s="277"/>
      <c r="C14" s="16" t="s">
        <v>104</v>
      </c>
      <c r="D14" s="15" t="s">
        <v>284</v>
      </c>
      <c r="E14" s="17">
        <v>0</v>
      </c>
      <c r="F14" s="109">
        <v>0</v>
      </c>
      <c r="G14" s="109">
        <v>0</v>
      </c>
      <c r="H14" s="115">
        <v>0</v>
      </c>
      <c r="I14" s="302"/>
      <c r="J14" s="303"/>
      <c r="K14" s="116">
        <v>1</v>
      </c>
      <c r="L14" s="154">
        <v>0</v>
      </c>
      <c r="M14" s="3">
        <v>0</v>
      </c>
    </row>
    <row r="15" spans="1:18" ht="48" x14ac:dyDescent="0.25">
      <c r="A15" s="272"/>
      <c r="B15" s="277"/>
      <c r="C15" s="16" t="s">
        <v>105</v>
      </c>
      <c r="D15" s="15" t="s">
        <v>106</v>
      </c>
      <c r="E15" s="17">
        <v>0</v>
      </c>
      <c r="F15" s="17">
        <v>0</v>
      </c>
      <c r="G15" s="17">
        <v>0</v>
      </c>
      <c r="H15" s="115"/>
      <c r="I15" s="302"/>
      <c r="J15" s="303"/>
      <c r="K15" s="116">
        <v>0</v>
      </c>
      <c r="L15" s="154">
        <v>1</v>
      </c>
      <c r="M15" s="3">
        <v>1</v>
      </c>
    </row>
    <row r="16" spans="1:18" ht="66" customHeight="1" x14ac:dyDescent="0.25">
      <c r="A16" s="273"/>
      <c r="B16" s="278"/>
      <c r="C16" s="117" t="s">
        <v>341</v>
      </c>
      <c r="D16" s="114" t="s">
        <v>321</v>
      </c>
      <c r="E16" s="148">
        <v>0</v>
      </c>
      <c r="F16" s="148">
        <v>0</v>
      </c>
      <c r="G16" s="148">
        <v>0</v>
      </c>
      <c r="H16" s="115"/>
      <c r="I16" s="160"/>
      <c r="J16" s="161"/>
      <c r="K16" s="116">
        <v>0</v>
      </c>
      <c r="L16" s="154">
        <v>1</v>
      </c>
      <c r="M16" s="3">
        <v>1</v>
      </c>
    </row>
    <row r="17" spans="1:13" ht="48" customHeight="1" x14ac:dyDescent="0.25">
      <c r="A17" s="271" t="s">
        <v>323</v>
      </c>
      <c r="B17" s="271" t="s">
        <v>386</v>
      </c>
      <c r="C17" s="16" t="s">
        <v>107</v>
      </c>
      <c r="D17" s="15" t="s">
        <v>108</v>
      </c>
      <c r="E17" s="201">
        <v>1</v>
      </c>
      <c r="F17" s="201">
        <v>0.9</v>
      </c>
      <c r="G17" s="201">
        <v>0.8</v>
      </c>
      <c r="H17" s="34">
        <v>91</v>
      </c>
      <c r="I17" s="34" t="s">
        <v>324</v>
      </c>
      <c r="J17" s="34" t="s">
        <v>325</v>
      </c>
      <c r="K17" s="178">
        <v>0.92049999999999998</v>
      </c>
      <c r="L17" s="154">
        <f>1-(K17-G17)/G17</f>
        <v>0.8493750000000001</v>
      </c>
      <c r="M17" s="3">
        <v>1</v>
      </c>
    </row>
    <row r="18" spans="1:13" ht="34.5" customHeight="1" x14ac:dyDescent="0.25">
      <c r="A18" s="272"/>
      <c r="B18" s="272"/>
      <c r="C18" s="16" t="s">
        <v>169</v>
      </c>
      <c r="D18" s="15" t="s">
        <v>170</v>
      </c>
      <c r="E18" s="201">
        <v>1</v>
      </c>
      <c r="F18" s="201">
        <v>0.9</v>
      </c>
      <c r="G18" s="201">
        <v>0.8</v>
      </c>
      <c r="H18" s="34">
        <v>100</v>
      </c>
      <c r="I18" s="34" t="s">
        <v>263</v>
      </c>
      <c r="J18" s="34" t="s">
        <v>326</v>
      </c>
      <c r="K18" s="154">
        <v>1</v>
      </c>
      <c r="L18" s="154">
        <f t="shared" ref="L18:L23" si="0">1+(K18-G18)/G18</f>
        <v>1.25</v>
      </c>
      <c r="M18" s="3">
        <v>1</v>
      </c>
    </row>
    <row r="19" spans="1:13" s="150" customFormat="1" ht="47.25" customHeight="1" x14ac:dyDescent="0.25">
      <c r="A19" s="272"/>
      <c r="B19" s="272"/>
      <c r="C19" s="118" t="s">
        <v>109</v>
      </c>
      <c r="D19" s="114" t="s">
        <v>110</v>
      </c>
      <c r="E19" s="148">
        <v>4.8</v>
      </c>
      <c r="F19" s="17">
        <v>4.5</v>
      </c>
      <c r="G19" s="17">
        <v>4.2</v>
      </c>
      <c r="H19" s="34"/>
      <c r="I19" s="34" t="s">
        <v>327</v>
      </c>
      <c r="J19" s="34" t="s">
        <v>328</v>
      </c>
      <c r="K19" s="116">
        <v>4.49</v>
      </c>
      <c r="L19" s="154">
        <f t="shared" si="0"/>
        <v>1.069047619047619</v>
      </c>
      <c r="M19" s="203">
        <v>1</v>
      </c>
    </row>
    <row r="20" spans="1:13" ht="45" customHeight="1" x14ac:dyDescent="0.25">
      <c r="A20" s="275" t="s">
        <v>111</v>
      </c>
      <c r="B20" s="276" t="s">
        <v>270</v>
      </c>
      <c r="C20" s="113" t="s">
        <v>112</v>
      </c>
      <c r="D20" s="108" t="s">
        <v>149</v>
      </c>
      <c r="E20" s="109">
        <v>5</v>
      </c>
      <c r="F20" s="109" t="s">
        <v>340</v>
      </c>
      <c r="G20" s="109">
        <v>4</v>
      </c>
      <c r="H20" s="34"/>
      <c r="I20" s="34" t="s">
        <v>264</v>
      </c>
      <c r="J20" s="34" t="s">
        <v>265</v>
      </c>
      <c r="K20" s="116">
        <v>4.75</v>
      </c>
      <c r="L20" s="154">
        <f t="shared" si="0"/>
        <v>1.1875</v>
      </c>
      <c r="M20" s="3">
        <v>1</v>
      </c>
    </row>
    <row r="21" spans="1:13" ht="43.5" customHeight="1" x14ac:dyDescent="0.25">
      <c r="A21" s="275"/>
      <c r="B21" s="277"/>
      <c r="C21" s="119" t="s">
        <v>113</v>
      </c>
      <c r="D21" s="108" t="s">
        <v>150</v>
      </c>
      <c r="E21" s="109">
        <v>5</v>
      </c>
      <c r="F21" s="109" t="s">
        <v>340</v>
      </c>
      <c r="G21" s="109">
        <v>4</v>
      </c>
      <c r="H21" s="115">
        <v>4.4000000000000004</v>
      </c>
      <c r="I21" s="146" t="s">
        <v>266</v>
      </c>
      <c r="J21" s="146" t="s">
        <v>269</v>
      </c>
      <c r="K21" s="116">
        <v>4.5599999999999996</v>
      </c>
      <c r="L21" s="154">
        <f t="shared" si="0"/>
        <v>1.1399999999999999</v>
      </c>
      <c r="M21" s="3">
        <v>1</v>
      </c>
    </row>
    <row r="22" spans="1:13" ht="48.75" customHeight="1" x14ac:dyDescent="0.25">
      <c r="A22" s="275"/>
      <c r="B22" s="278"/>
      <c r="C22" s="113" t="s">
        <v>114</v>
      </c>
      <c r="D22" s="108" t="s">
        <v>151</v>
      </c>
      <c r="E22" s="109">
        <v>5</v>
      </c>
      <c r="F22" s="109" t="s">
        <v>340</v>
      </c>
      <c r="G22" s="109">
        <v>4</v>
      </c>
      <c r="H22" s="115">
        <v>4.7</v>
      </c>
      <c r="I22" s="115" t="s">
        <v>267</v>
      </c>
      <c r="J22" s="146" t="s">
        <v>268</v>
      </c>
      <c r="K22" s="116">
        <v>4.83</v>
      </c>
      <c r="L22" s="154">
        <f t="shared" si="0"/>
        <v>1.2075</v>
      </c>
      <c r="M22" s="3">
        <v>1</v>
      </c>
    </row>
    <row r="23" spans="1:13" ht="73.5" customHeight="1" x14ac:dyDescent="0.25">
      <c r="A23" s="275" t="s">
        <v>156</v>
      </c>
      <c r="B23" s="279" t="s">
        <v>115</v>
      </c>
      <c r="C23" s="155" t="s">
        <v>368</v>
      </c>
      <c r="D23" s="114" t="s">
        <v>152</v>
      </c>
      <c r="E23" s="109">
        <v>95</v>
      </c>
      <c r="F23" s="109">
        <v>90</v>
      </c>
      <c r="G23" s="109">
        <v>85</v>
      </c>
      <c r="H23" s="115"/>
      <c r="I23" s="146" t="s">
        <v>271</v>
      </c>
      <c r="J23" s="115" t="s">
        <v>272</v>
      </c>
      <c r="K23" s="109">
        <v>93</v>
      </c>
      <c r="L23" s="154">
        <f t="shared" si="0"/>
        <v>1.0941176470588236</v>
      </c>
      <c r="M23" s="3">
        <v>1</v>
      </c>
    </row>
    <row r="24" spans="1:13" ht="55.5" customHeight="1" x14ac:dyDescent="0.25">
      <c r="A24" s="271"/>
      <c r="B24" s="280"/>
      <c r="C24" s="156" t="s">
        <v>153</v>
      </c>
      <c r="D24" s="18" t="s">
        <v>154</v>
      </c>
      <c r="E24" s="198">
        <v>0.15</v>
      </c>
      <c r="F24" s="198">
        <v>0.25</v>
      </c>
      <c r="G24" s="198">
        <v>0.35</v>
      </c>
      <c r="H24" s="35"/>
      <c r="I24" s="35" t="s">
        <v>273</v>
      </c>
      <c r="J24" s="35" t="s">
        <v>274</v>
      </c>
      <c r="K24" s="174">
        <v>0.23899999999999999</v>
      </c>
      <c r="L24" s="154">
        <f>1-(K24-G24)/G24</f>
        <v>1.3171428571428572</v>
      </c>
      <c r="M24" s="4">
        <v>1</v>
      </c>
    </row>
    <row r="25" spans="1:13" ht="51" customHeight="1" x14ac:dyDescent="0.25">
      <c r="A25" s="275" t="s">
        <v>116</v>
      </c>
      <c r="B25" s="281" t="s">
        <v>117</v>
      </c>
      <c r="C25" s="16" t="s">
        <v>118</v>
      </c>
      <c r="D25" s="15" t="s">
        <v>155</v>
      </c>
      <c r="E25" s="201">
        <v>1</v>
      </c>
      <c r="F25" s="201">
        <v>0.9</v>
      </c>
      <c r="G25" s="201">
        <v>0.8</v>
      </c>
      <c r="H25" s="35"/>
      <c r="I25" s="35" t="s">
        <v>277</v>
      </c>
      <c r="J25" s="35" t="s">
        <v>282</v>
      </c>
      <c r="K25" s="173">
        <v>0.83</v>
      </c>
      <c r="L25" s="154">
        <f>1+(K25-G25)/G25</f>
        <v>1.0374999999999999</v>
      </c>
      <c r="M25" s="3">
        <v>1</v>
      </c>
    </row>
    <row r="26" spans="1:13" ht="44.25" customHeight="1" x14ac:dyDescent="0.25">
      <c r="A26" s="275"/>
      <c r="B26" s="282"/>
      <c r="C26" s="16" t="s">
        <v>119</v>
      </c>
      <c r="D26" s="108" t="s">
        <v>157</v>
      </c>
      <c r="E26" s="109">
        <v>4.7</v>
      </c>
      <c r="F26" s="109">
        <v>4.5</v>
      </c>
      <c r="G26" s="109">
        <v>4</v>
      </c>
      <c r="H26" s="35"/>
      <c r="I26" s="35" t="s">
        <v>276</v>
      </c>
      <c r="J26" s="35" t="s">
        <v>275</v>
      </c>
      <c r="K26" s="116">
        <v>4.5</v>
      </c>
      <c r="L26" s="154">
        <f>1+(K26-G26)/G26</f>
        <v>1.125</v>
      </c>
      <c r="M26" s="3">
        <v>1</v>
      </c>
    </row>
    <row r="27" spans="1:13" ht="62.25" customHeight="1" x14ac:dyDescent="0.25">
      <c r="A27" s="109" t="s">
        <v>120</v>
      </c>
      <c r="B27" s="120" t="s">
        <v>121</v>
      </c>
      <c r="C27" s="16" t="s">
        <v>387</v>
      </c>
      <c r="D27" s="114" t="s">
        <v>157</v>
      </c>
      <c r="E27" s="109">
        <v>4.5</v>
      </c>
      <c r="F27" s="109">
        <v>4.2</v>
      </c>
      <c r="G27" s="109">
        <v>4</v>
      </c>
      <c r="H27" s="115"/>
      <c r="I27" s="146" t="s">
        <v>278</v>
      </c>
      <c r="J27" s="35" t="s">
        <v>281</v>
      </c>
      <c r="K27" s="116">
        <v>4.26</v>
      </c>
      <c r="L27" s="154">
        <f>1+(K27-G27)/G27</f>
        <v>1.0649999999999999</v>
      </c>
      <c r="M27" s="3">
        <v>1</v>
      </c>
    </row>
    <row r="28" spans="1:13" ht="66.75" customHeight="1" x14ac:dyDescent="0.25">
      <c r="A28" s="109" t="s">
        <v>122</v>
      </c>
      <c r="B28" s="120" t="s">
        <v>123</v>
      </c>
      <c r="C28" s="117" t="s">
        <v>124</v>
      </c>
      <c r="D28" s="108" t="s">
        <v>158</v>
      </c>
      <c r="E28" s="109">
        <v>3</v>
      </c>
      <c r="F28" s="109">
        <v>2.5</v>
      </c>
      <c r="G28" s="109">
        <v>1.8</v>
      </c>
      <c r="H28" s="115"/>
      <c r="I28" s="146" t="s">
        <v>279</v>
      </c>
      <c r="J28" s="146" t="s">
        <v>329</v>
      </c>
      <c r="K28" s="116">
        <v>2.8</v>
      </c>
      <c r="L28" s="154">
        <f>1+(K28-G28)/G28</f>
        <v>1.5555555555555554</v>
      </c>
      <c r="M28" s="3">
        <v>1</v>
      </c>
    </row>
    <row r="30" spans="1:13" x14ac:dyDescent="0.25">
      <c r="G30" s="274" t="s">
        <v>125</v>
      </c>
      <c r="H30" s="274"/>
      <c r="I30" s="274"/>
      <c r="J30" s="274"/>
      <c r="K30" s="274"/>
      <c r="L30" s="71">
        <f>AVERAGE(L6:L28)</f>
        <v>1.329688709480034</v>
      </c>
    </row>
    <row r="35" spans="2:3" ht="45" x14ac:dyDescent="0.25">
      <c r="B35" t="s">
        <v>126</v>
      </c>
      <c r="C35" s="8" t="s">
        <v>127</v>
      </c>
    </row>
  </sheetData>
  <mergeCells count="31">
    <mergeCell ref="A7:A8"/>
    <mergeCell ref="B7:B8"/>
    <mergeCell ref="A9:A10"/>
    <mergeCell ref="B9:B10"/>
    <mergeCell ref="A1:A3"/>
    <mergeCell ref="E4:G4"/>
    <mergeCell ref="B2:J2"/>
    <mergeCell ref="I7:I8"/>
    <mergeCell ref="J7:J8"/>
    <mergeCell ref="I9:I10"/>
    <mergeCell ref="K1:M1"/>
    <mergeCell ref="K2:M2"/>
    <mergeCell ref="K3:M3"/>
    <mergeCell ref="I4:I5"/>
    <mergeCell ref="J4:J5"/>
    <mergeCell ref="K4:K5"/>
    <mergeCell ref="L4:L5"/>
    <mergeCell ref="M4:M5"/>
    <mergeCell ref="A11:A16"/>
    <mergeCell ref="G30:K30"/>
    <mergeCell ref="A17:A19"/>
    <mergeCell ref="B17:B19"/>
    <mergeCell ref="A20:A22"/>
    <mergeCell ref="B20:B22"/>
    <mergeCell ref="A23:A24"/>
    <mergeCell ref="B23:B24"/>
    <mergeCell ref="A25:A26"/>
    <mergeCell ref="B25:B26"/>
    <mergeCell ref="B11:B16"/>
    <mergeCell ref="I11:I15"/>
    <mergeCell ref="J11:J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DIRECTRICES </vt:lpstr>
      <vt:lpstr>Presupuestos 2022</vt:lpstr>
      <vt:lpstr>OBJETIVOS ESTRATEGICOS </vt:lpstr>
      <vt:lpstr>OBJETIVOS GESTION INTEGRAL</vt:lpstr>
      <vt:lpstr>TODOS LOS 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carmen.giraldo</dc:creator>
  <cp:lastModifiedBy>gloria.vallejo</cp:lastModifiedBy>
  <dcterms:created xsi:type="dcterms:W3CDTF">2017-05-02T20:02:00Z</dcterms:created>
  <dcterms:modified xsi:type="dcterms:W3CDTF">2023-02-22T22:44:59Z</dcterms:modified>
</cp:coreProperties>
</file>